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8860" windowHeight="4660" activeTab="1"/>
  </bookViews>
  <sheets>
    <sheet name="FY01 1st 6-month RMPF Summary" sheetId="1" r:id="rId1"/>
    <sheet name="Monthly Summary Reports" sheetId="2" r:id="rId2"/>
    <sheet name="Paper Detail" sheetId="3" r:id="rId3"/>
    <sheet name="ACC Paper Summary" sheetId="4" r:id="rId4"/>
    <sheet name="ACC B&amp;C Summary" sheetId="5" r:id="rId5"/>
    <sheet name="Merchants B&amp;C Summary" sheetId="6" r:id="rId6"/>
    <sheet name="Merchants Paper Summary" sheetId="7" r:id="rId7"/>
    <sheet name="ACC Presorted Paper " sheetId="8" r:id="rId8"/>
    <sheet name="Merchants Presorted Paper" sheetId="9" r:id="rId9"/>
    <sheet name="Customer Detail" sheetId="10" r:id="rId10"/>
    <sheet name="CBD Bar Graph" sheetId="11" r:id="rId11"/>
    <sheet name="CBD Line Graph" sheetId="12" r:id="rId12"/>
    <sheet name="Dumpster Tonnage Graph" sheetId="13" r:id="rId13"/>
    <sheet name="Dumpster Info" sheetId="14" r:id="rId14"/>
    <sheet name="CBD Summary Graph" sheetId="15" r:id="rId15"/>
    <sheet name="USD Residential Curbside" sheetId="16" r:id="rId16"/>
    <sheet name="Drop-Off Sites" sheetId="17" r:id="rId17"/>
    <sheet name="CBD Info" sheetId="18" r:id="rId18"/>
  </sheets>
  <definedNames>
    <definedName name="_xlnm.Print_Area" localSheetId="17">'CBD Info'!$A$12:$Q$50</definedName>
    <definedName name="_xlnm.Print_Area" localSheetId="9">'Customer Detail'!$A$1:$N$155</definedName>
    <definedName name="_xlnm.Print_Area" localSheetId="16">'Drop-Off Sites'!$A$3:$R$47</definedName>
    <definedName name="_xlnm.Print_Area" localSheetId="13">'Dumpster Info'!$A$13:$O$54</definedName>
    <definedName name="_xlnm.Print_Area" localSheetId="1">'Monthly Summary Reports'!$A$3:$G$40</definedName>
    <definedName name="_xlnm.Print_Area" localSheetId="15">'USD Residential Curbside'!$A$12:$O$53</definedName>
  </definedNames>
  <calcPr fullCalcOnLoad="1"/>
</workbook>
</file>

<file path=xl/sharedStrings.xml><?xml version="1.0" encoding="utf-8"?>
<sst xmlns="http://schemas.openxmlformats.org/spreadsheetml/2006/main" count="958" uniqueCount="128">
  <si>
    <t>Bolton Enterprises</t>
  </si>
  <si>
    <t>Ponderosa, Ga. Corp.</t>
  </si>
  <si>
    <t>Vend Corporation</t>
  </si>
  <si>
    <t>Commercial Dumpster Recycling Program Data</t>
  </si>
  <si>
    <t>Athens-Clarke County Solid Waste Department</t>
  </si>
  <si>
    <t>Recycling Division Services (ONLY)</t>
  </si>
  <si>
    <t>Total Delivered Below(-)/Above(+) Min.:</t>
  </si>
  <si>
    <t>Average Tons Per Month</t>
  </si>
  <si>
    <t>IEM Georgia Square Mall</t>
  </si>
  <si>
    <t>Eagle Waste &amp; Recycling</t>
  </si>
  <si>
    <t>USD Residential Curbside Recycling Program Data</t>
  </si>
  <si>
    <t>Residential Drop-Off Recycling Program Data</t>
  </si>
  <si>
    <t>City of Washington</t>
  </si>
  <si>
    <t>Sterling Sanitation</t>
  </si>
  <si>
    <t xml:space="preserve">New Filename: FY01 Monthly RMPF Reports </t>
  </si>
  <si>
    <t>FY01 Annual Recycling Report (to date)</t>
  </si>
  <si>
    <t>FY01 (July 1, 2000 - June 30, 2001)</t>
  </si>
  <si>
    <t>Ga. Builiding Authority Materials (presort-UGA)</t>
  </si>
  <si>
    <t>Note: 21.68 UGA tonnage not charged processing fees</t>
  </si>
  <si>
    <t>Bulldog Waste Services</t>
  </si>
  <si>
    <t>Note: 47.55 UGA tonnage not charged processing fees</t>
  </si>
  <si>
    <t>Fowler Products</t>
  </si>
  <si>
    <t>Waste Pro</t>
  </si>
  <si>
    <t>Note: 48.82 UGA tonnage not charged processing fees</t>
  </si>
  <si>
    <t>Note:  46.85 UGA tonnage not charged processing fees</t>
  </si>
  <si>
    <t>Sinclair</t>
  </si>
  <si>
    <t>Waste Management</t>
  </si>
  <si>
    <t>*</t>
  </si>
  <si>
    <t>* Includes GBA of 6.92</t>
  </si>
  <si>
    <t>Note:  33.18 UGA tonnage not charged processing fees</t>
  </si>
  <si>
    <t>Note:  59.93 UGA/GA Building Authority tonnage not charged processing fees</t>
  </si>
  <si>
    <t>Athens-Clarke County FY01 RMPF Summary</t>
  </si>
  <si>
    <t>Note:  53.96 UGA/GA Building Authority tonnage not charged processing fees</t>
  </si>
  <si>
    <t>Note:  54.13 UGA/GA Building Authority tonnage not charged processing fees</t>
  </si>
  <si>
    <t>Sinclair Disposal Service</t>
  </si>
  <si>
    <t>Note:  45.34 UGA/GA Building Authority tonnage not charged processing fees</t>
  </si>
  <si>
    <t>Note:  57.73 UGA/GA Building Authority tonnage not charged processing fees</t>
  </si>
  <si>
    <t>Note:  70.92 UGA/GA Building Authority/American Recycling tonnage not charged processing fees</t>
  </si>
  <si>
    <t>Total Tons Delivered by ACC:</t>
  </si>
  <si>
    <t/>
  </si>
  <si>
    <t>Total Tons Delivered by Other:</t>
  </si>
  <si>
    <t>Total Tons Delivered (All):</t>
  </si>
  <si>
    <t>Target Tons Per Month:</t>
  </si>
  <si>
    <t>TONS</t>
  </si>
  <si>
    <t>Delivered:</t>
  </si>
  <si>
    <t>Paper</t>
  </si>
  <si>
    <t>B&amp;C</t>
  </si>
  <si>
    <t>Textiles</t>
  </si>
  <si>
    <t>Other (Presorted)</t>
  </si>
  <si>
    <t>Total</t>
  </si>
  <si>
    <t>Residential Curbside</t>
  </si>
  <si>
    <t>Residential Drop-Off</t>
  </si>
  <si>
    <t>Commercial CBD</t>
  </si>
  <si>
    <t>Commercial Dumpster</t>
  </si>
  <si>
    <t>Merchant</t>
  </si>
  <si>
    <t xml:space="preserve">     Total:</t>
  </si>
  <si>
    <t>Undelivered:</t>
  </si>
  <si>
    <t>DOLLARS</t>
  </si>
  <si>
    <t>Textiles @</t>
  </si>
  <si>
    <t>Other @</t>
  </si>
  <si>
    <t xml:space="preserve"> @$45/ton</t>
  </si>
  <si>
    <t xml:space="preserve"> @$86/ton</t>
  </si>
  <si>
    <t xml:space="preserve"> $37.50/ton</t>
  </si>
  <si>
    <t>Residential</t>
  </si>
  <si>
    <t>Commercial</t>
  </si>
  <si>
    <t>Total ($) Due:</t>
  </si>
  <si>
    <t>Total ($) Due</t>
  </si>
  <si>
    <t>Delivered Materials:</t>
  </si>
  <si>
    <t>Undelivered Materials:</t>
  </si>
  <si>
    <t>Aggregate Processing Fees:</t>
  </si>
  <si>
    <t>LESS:  Net Revenues Due</t>
  </si>
  <si>
    <t>Athens-Clarke:</t>
  </si>
  <si>
    <t>Total ($) Due RRS:</t>
  </si>
  <si>
    <t>(2)</t>
  </si>
  <si>
    <t>Total Tonnage</t>
  </si>
  <si>
    <t>Processing Fees</t>
  </si>
  <si>
    <t>Revenues</t>
  </si>
  <si>
    <t>(Actual)</t>
  </si>
  <si>
    <t>Received</t>
  </si>
  <si>
    <t>Net Fees</t>
  </si>
  <si>
    <t>Athens-Clarke County Solid Waste Department - Recycling Division</t>
  </si>
  <si>
    <t>(1)</t>
  </si>
  <si>
    <t>Month</t>
  </si>
  <si>
    <t>B&amp;C Tonnage</t>
  </si>
  <si>
    <t>Paper Tonnage</t>
  </si>
  <si>
    <t>GRAND TOTALS</t>
  </si>
  <si>
    <t>COST PER TON</t>
  </si>
  <si>
    <t>(1) Paper tonnage includes textile tonnage processed at RMPF.</t>
  </si>
  <si>
    <t>(2) "Revenues Received (Actual)" reflects revenues received on materials from previous months and, typically, does not reflect revenues received for current monthly processed tonnage.</t>
  </si>
  <si>
    <t>Notes:</t>
  </si>
  <si>
    <t>Greenville, S.C.</t>
  </si>
  <si>
    <t>Merchants</t>
  </si>
  <si>
    <t>United/Robertson</t>
  </si>
  <si>
    <t>Oconee County</t>
  </si>
  <si>
    <t>Johnson &amp; Sons</t>
  </si>
  <si>
    <t>City of Comer</t>
  </si>
  <si>
    <t>Ga Waste Service</t>
  </si>
  <si>
    <t>Oglethorpe County</t>
  </si>
  <si>
    <t>Prospect Recycling</t>
  </si>
  <si>
    <t>Walton County</t>
  </si>
  <si>
    <t>Madison County</t>
  </si>
  <si>
    <t>Northeast Waste/USA</t>
  </si>
  <si>
    <t>Johnson &amp; Johnson, Inc.</t>
  </si>
  <si>
    <t>F4 Sanitation</t>
  </si>
  <si>
    <t>BFI, Inc.</t>
  </si>
  <si>
    <t>Commingled Paper Tonnage</t>
  </si>
  <si>
    <t>Presorted Paper Tonnage</t>
  </si>
  <si>
    <t>Commingled Bottles &amp; Cans Tonnage</t>
  </si>
  <si>
    <t>Athens Mailing Service</t>
  </si>
  <si>
    <t>TOTALS</t>
  </si>
  <si>
    <t>Oconee Waste Transport</t>
  </si>
  <si>
    <t>Hart County</t>
  </si>
  <si>
    <t>Textile Tonnage</t>
  </si>
  <si>
    <t>Waste Recycling Services</t>
  </si>
  <si>
    <t>Classic City Moving</t>
  </si>
  <si>
    <t>Totals</t>
  </si>
  <si>
    <t>Total Tonnage Figures</t>
  </si>
  <si>
    <t>Customer Name</t>
  </si>
  <si>
    <t>Commingled Paper</t>
  </si>
  <si>
    <t>Commingled B&amp;C</t>
  </si>
  <si>
    <t>Presorted Paper</t>
  </si>
  <si>
    <t>Commercial Central Business District (CBD) Recycling Program Data</t>
  </si>
  <si>
    <t>McLane Southeast</t>
  </si>
  <si>
    <t>USDA Forest Service</t>
  </si>
  <si>
    <t>AAA Sanitation</t>
  </si>
  <si>
    <t>UGA</t>
  </si>
  <si>
    <t>Morgan County</t>
  </si>
  <si>
    <t xml:space="preserve">Miscellaneous/Unnamed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</si>
</sst>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\ d\,\ yyyy"/>
    <numFmt numFmtId="166" formatCode="mmmm\-yy"/>
    <numFmt numFmtId="167" formatCode="0.0000000000000"/>
    <numFmt numFmtId="168" formatCode="&quot;$&quot;#,##0.00"/>
  </numFmts>
  <fonts count="30">
    <font>
      <sz val="10"/>
      <name val="Arial"/>
      <family val="0"/>
    </font>
    <font>
      <b/>
      <sz val="12"/>
      <name val="SWISS"/>
      <family val="2"/>
    </font>
    <font>
      <b/>
      <u val="single"/>
      <sz val="12"/>
      <name val="SWIS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MT"/>
      <family val="0"/>
    </font>
    <font>
      <b/>
      <i/>
      <sz val="12"/>
      <name val="Arial MT"/>
      <family val="0"/>
    </font>
    <font>
      <sz val="10.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2"/>
      <name val="Arial"/>
      <family val="2"/>
    </font>
    <font>
      <b/>
      <sz val="9.25"/>
      <name val="Arial"/>
      <family val="0"/>
    </font>
    <font>
      <sz val="8.25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"/>
      <family val="2"/>
    </font>
    <font>
      <sz val="10"/>
      <name val="SWISS"/>
      <family val="0"/>
    </font>
    <font>
      <sz val="15"/>
      <name val="Arial"/>
      <family val="0"/>
    </font>
    <font>
      <b/>
      <sz val="15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fill"/>
      <protection/>
    </xf>
    <xf numFmtId="0" fontId="0" fillId="0" borderId="0" xfId="0" applyAlignment="1">
      <alignment horizontal="fill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7" fontId="0" fillId="0" borderId="1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7" fontId="0" fillId="0" borderId="2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7" fontId="0" fillId="0" borderId="3" xfId="0" applyNumberFormat="1" applyBorder="1" applyAlignment="1" applyProtection="1">
      <alignment/>
      <protection/>
    </xf>
    <xf numFmtId="7" fontId="6" fillId="0" borderId="2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7" fontId="5" fillId="0" borderId="3" xfId="0" applyNumberFormat="1" applyFont="1" applyBorder="1" applyAlignment="1" applyProtection="1">
      <alignment/>
      <protection/>
    </xf>
    <xf numFmtId="7" fontId="5" fillId="0" borderId="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right"/>
      <protection/>
    </xf>
    <xf numFmtId="17" fontId="0" fillId="0" borderId="1" xfId="0" applyNumberFormat="1" applyBorder="1" applyAlignment="1" applyProtection="1">
      <alignment/>
      <protection/>
    </xf>
    <xf numFmtId="17" fontId="0" fillId="0" borderId="2" xfId="0" applyNumberFormat="1" applyBorder="1" applyAlignment="1" applyProtection="1">
      <alignment/>
      <protection/>
    </xf>
    <xf numFmtId="7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8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8" fontId="3" fillId="0" borderId="0" xfId="0" applyNumberFormat="1" applyFont="1" applyAlignment="1">
      <alignment/>
    </xf>
    <xf numFmtId="7" fontId="26" fillId="0" borderId="0" xfId="0" applyNumberFormat="1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68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5" fillId="0" borderId="0" xfId="0" applyNumberFormat="1" applyFont="1" applyBorder="1" applyAlignment="1" applyProtection="1">
      <alignment horizontal="left"/>
      <protection/>
    </xf>
    <xf numFmtId="0" fontId="29" fillId="0" borderId="0" xfId="0" applyFont="1" applyAlignment="1">
      <alignment/>
    </xf>
    <xf numFmtId="2" fontId="0" fillId="0" borderId="0" xfId="0" applyNumberFormat="1" applyAlignment="1">
      <alignment/>
    </xf>
    <xf numFmtId="7" fontId="26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Recovered Materials Processing Facility Recycling Tonnage
FY01 (July 1, 2000-December 31, 2000)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86"/>
          <c:w val="0.97325"/>
          <c:h val="0.84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'Monthly Summary Reports'!$B$8:$B$9</c:f>
              <c:strCache>
                <c:ptCount val="1"/>
                <c:pt idx="0">
                  <c:v>B&amp;C Tonnage (Actual)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Summary Reports'!$A$10:$A$20</c:f>
              <c:strCache>
                <c:ptCount val="11"/>
                <c:pt idx="0">
                  <c:v>36708</c:v>
                </c:pt>
                <c:pt idx="2">
                  <c:v>36739</c:v>
                </c:pt>
                <c:pt idx="4">
                  <c:v>36770</c:v>
                </c:pt>
                <c:pt idx="6">
                  <c:v>36800</c:v>
                </c:pt>
                <c:pt idx="8">
                  <c:v>36831</c:v>
                </c:pt>
                <c:pt idx="10">
                  <c:v>36861</c:v>
                </c:pt>
              </c:strCache>
            </c:strRef>
          </c:cat>
          <c:val>
            <c:numRef>
              <c:f>'Monthly Summary Reports'!$B$10:$B$20</c:f>
              <c:numCache>
                <c:ptCount val="11"/>
                <c:pt idx="0">
                  <c:v>210.84</c:v>
                </c:pt>
                <c:pt idx="2">
                  <c:v>214.91000000000003</c:v>
                </c:pt>
                <c:pt idx="4">
                  <c:v>195.22</c:v>
                </c:pt>
                <c:pt idx="6">
                  <c:v>206.59</c:v>
                </c:pt>
                <c:pt idx="8">
                  <c:v>180.81</c:v>
                </c:pt>
                <c:pt idx="10">
                  <c:v>169.66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'Monthly Summary Reports'!$C$8:$C$9</c:f>
              <c:strCache>
                <c:ptCount val="1"/>
                <c:pt idx="0">
                  <c:v>Paper Tonnage (Actual)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Summary Reports'!$A$10:$A$20</c:f>
              <c:strCache>
                <c:ptCount val="11"/>
                <c:pt idx="0">
                  <c:v>36708</c:v>
                </c:pt>
                <c:pt idx="2">
                  <c:v>36739</c:v>
                </c:pt>
                <c:pt idx="4">
                  <c:v>36770</c:v>
                </c:pt>
                <c:pt idx="6">
                  <c:v>36800</c:v>
                </c:pt>
                <c:pt idx="8">
                  <c:v>36831</c:v>
                </c:pt>
                <c:pt idx="10">
                  <c:v>36861</c:v>
                </c:pt>
              </c:strCache>
            </c:strRef>
          </c:cat>
          <c:val>
            <c:numRef>
              <c:f>'Monthly Summary Reports'!$C$10:$C$22</c:f>
              <c:numCache>
                <c:ptCount val="13"/>
                <c:pt idx="0">
                  <c:v>765.5899999999999</c:v>
                </c:pt>
                <c:pt idx="2">
                  <c:v>911.64</c:v>
                </c:pt>
                <c:pt idx="4">
                  <c:v>894.9499999999999</c:v>
                </c:pt>
                <c:pt idx="6">
                  <c:v>918.2800000000001</c:v>
                </c:pt>
                <c:pt idx="8">
                  <c:v>995.4300000000001</c:v>
                </c:pt>
                <c:pt idx="10">
                  <c:v>852.6899999999999</c:v>
                </c:pt>
                <c:pt idx="12">
                  <c:v>891.79</c:v>
                </c:pt>
              </c:numCache>
            </c:numRef>
          </c:val>
          <c:shape val="box"/>
        </c:ser>
        <c:overlap val="100"/>
        <c:shape val="box"/>
        <c:axId val="14408299"/>
        <c:axId val="62565828"/>
      </c:bar3D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82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93475"/>
          <c:w val="0.45325"/>
          <c:h val="0.052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Athens-Clarke County 
Commercial Curbside Recycling Tonnage Summary 
FY01 (July 1, 2000 -June 30, 2001)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'CBD Info'!$A$23</c:f>
              <c:strCache>
                <c:ptCount val="1"/>
                <c:pt idx="0">
                  <c:v>Total Tonnage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'CBD Info'!$B$22:$M$22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Info'!$B$23:$M$23</c:f>
              <c:numCache>
                <c:ptCount val="12"/>
                <c:pt idx="0">
                  <c:v>40.019999999999996</c:v>
                </c:pt>
                <c:pt idx="1">
                  <c:v>21.59</c:v>
                </c:pt>
                <c:pt idx="2">
                  <c:v>24.33</c:v>
                </c:pt>
                <c:pt idx="3">
                  <c:v>37.910000000000004</c:v>
                </c:pt>
                <c:pt idx="4">
                  <c:v>48.400000000000006</c:v>
                </c:pt>
                <c:pt idx="5">
                  <c:v>47.52</c:v>
                </c:pt>
                <c:pt idx="6">
                  <c:v>61.25</c:v>
                </c:pt>
                <c:pt idx="7">
                  <c:v>38.39</c:v>
                </c:pt>
                <c:pt idx="8">
                  <c:v>34.62</c:v>
                </c:pt>
                <c:pt idx="9">
                  <c:v>38.43</c:v>
                </c:pt>
                <c:pt idx="10">
                  <c:v>28.83</c:v>
                </c:pt>
                <c:pt idx="11">
                  <c:v>18.37</c:v>
                </c:pt>
              </c:numCache>
            </c:numRef>
          </c:val>
          <c:smooth val="0"/>
        </c:ser>
        <c:marker val="1"/>
        <c:axId val="58281013"/>
        <c:axId val="54767070"/>
      </c:lineChart>
      <c:dateAx>
        <c:axId val="5828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auto val="0"/>
        <c:noMultiLvlLbl val="0"/>
      </c:date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8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Athens-Clarke County
Commercial Dumpster Recycling Tonnage Detail
FY01 (July 1, 2000 -June 30, 2001)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'Dumpster Info'!$A$19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'Dumpster Info'!$B$18:$M$18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'Dumpster Info'!$B$19:$M$19</c:f>
              <c:numCache>
                <c:ptCount val="12"/>
                <c:pt idx="0">
                  <c:v>47.949999999999996</c:v>
                </c:pt>
                <c:pt idx="1">
                  <c:v>43.54</c:v>
                </c:pt>
                <c:pt idx="2">
                  <c:v>65.09</c:v>
                </c:pt>
                <c:pt idx="3">
                  <c:v>34.62</c:v>
                </c:pt>
                <c:pt idx="4">
                  <c:v>59.91</c:v>
                </c:pt>
                <c:pt idx="5">
                  <c:v>58.24</c:v>
                </c:pt>
                <c:pt idx="6">
                  <c:v>64.17</c:v>
                </c:pt>
                <c:pt idx="7">
                  <c:v>70.92999999999999</c:v>
                </c:pt>
                <c:pt idx="8">
                  <c:v>87.68</c:v>
                </c:pt>
                <c:pt idx="9">
                  <c:v>62.480000000000004</c:v>
                </c:pt>
                <c:pt idx="10">
                  <c:v>67.4</c:v>
                </c:pt>
                <c:pt idx="11">
                  <c:v>38.18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'Dumpster Info'!$A$20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'Dumpster Info'!$B$18:$M$18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'Dumpster Info'!$B$20:$M$20</c:f>
              <c:numCache>
                <c:ptCount val="12"/>
                <c:pt idx="0">
                  <c:v>3.71</c:v>
                </c:pt>
                <c:pt idx="1">
                  <c:v>10.84</c:v>
                </c:pt>
                <c:pt idx="2">
                  <c:v>16.79</c:v>
                </c:pt>
                <c:pt idx="3">
                  <c:v>5.23</c:v>
                </c:pt>
                <c:pt idx="4">
                  <c:v>7.2</c:v>
                </c:pt>
                <c:pt idx="5">
                  <c:v>4.75</c:v>
                </c:pt>
                <c:pt idx="6">
                  <c:v>4.8</c:v>
                </c:pt>
                <c:pt idx="7">
                  <c:v>4.53</c:v>
                </c:pt>
                <c:pt idx="8">
                  <c:v>7.03</c:v>
                </c:pt>
                <c:pt idx="9">
                  <c:v>4.8</c:v>
                </c:pt>
                <c:pt idx="10">
                  <c:v>10.05</c:v>
                </c:pt>
                <c:pt idx="11">
                  <c:v>18.31</c:v>
                </c:pt>
              </c:numCache>
            </c:numRef>
          </c:val>
          <c:shape val="box"/>
        </c:ser>
        <c:shape val="box"/>
        <c:axId val="23141583"/>
        <c:axId val="6947656"/>
      </c:bar3DChart>
      <c:dateAx>
        <c:axId val="2314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947656"/>
        <c:crosses val="autoZero"/>
        <c:auto val="0"/>
        <c:noMultiLvlLbl val="0"/>
      </c:dateAx>
      <c:valAx>
        <c:axId val="69476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41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Athens-Clarke County
Commercial Dumpster Recycling Tonnage Detail
FY01 (July 1, 2000 - June 30, 2001)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62"/>
          <c:w val="0.9705"/>
          <c:h val="0.7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'Dumpster Info'!$A$19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'Dumpster Info'!$B$18:$M$18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'Dumpster Info'!$B$19:$M$19</c:f>
              <c:numCache>
                <c:ptCount val="12"/>
                <c:pt idx="0">
                  <c:v>47.949999999999996</c:v>
                </c:pt>
                <c:pt idx="1">
                  <c:v>43.54</c:v>
                </c:pt>
                <c:pt idx="2">
                  <c:v>65.09</c:v>
                </c:pt>
                <c:pt idx="3">
                  <c:v>34.62</c:v>
                </c:pt>
                <c:pt idx="4">
                  <c:v>59.91</c:v>
                </c:pt>
                <c:pt idx="5">
                  <c:v>58.24</c:v>
                </c:pt>
                <c:pt idx="6">
                  <c:v>64.17</c:v>
                </c:pt>
                <c:pt idx="7">
                  <c:v>70.92999999999999</c:v>
                </c:pt>
                <c:pt idx="8">
                  <c:v>87.68</c:v>
                </c:pt>
                <c:pt idx="9">
                  <c:v>62.480000000000004</c:v>
                </c:pt>
                <c:pt idx="10">
                  <c:v>67.4</c:v>
                </c:pt>
                <c:pt idx="11">
                  <c:v>38.18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'Dumpster Info'!$A$20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'Dumpster Info'!$B$18:$M$18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'Dumpster Info'!$B$20:$M$20</c:f>
              <c:numCache>
                <c:ptCount val="12"/>
                <c:pt idx="0">
                  <c:v>3.71</c:v>
                </c:pt>
                <c:pt idx="1">
                  <c:v>10.84</c:v>
                </c:pt>
                <c:pt idx="2">
                  <c:v>16.79</c:v>
                </c:pt>
                <c:pt idx="3">
                  <c:v>5.23</c:v>
                </c:pt>
                <c:pt idx="4">
                  <c:v>7.2</c:v>
                </c:pt>
                <c:pt idx="5">
                  <c:v>4.75</c:v>
                </c:pt>
                <c:pt idx="6">
                  <c:v>4.8</c:v>
                </c:pt>
                <c:pt idx="7">
                  <c:v>4.53</c:v>
                </c:pt>
                <c:pt idx="8">
                  <c:v>7.03</c:v>
                </c:pt>
                <c:pt idx="9">
                  <c:v>4.8</c:v>
                </c:pt>
                <c:pt idx="10">
                  <c:v>10.05</c:v>
                </c:pt>
                <c:pt idx="11">
                  <c:v>18.31</c:v>
                </c:pt>
              </c:numCache>
            </c:numRef>
          </c:val>
          <c:shape val="box"/>
        </c:ser>
        <c:shape val="box"/>
        <c:axId val="62528905"/>
        <c:axId val="25889234"/>
      </c:bar3DChart>
      <c:dateAx>
        <c:axId val="62528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889234"/>
        <c:crosses val="autoZero"/>
        <c:auto val="0"/>
        <c:noMultiLvlLbl val="0"/>
      </c:dateAx>
      <c:valAx>
        <c:axId val="25889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289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25"/>
          <c:y val="0.9035"/>
          <c:w val="0.29"/>
          <c:h val="0.065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Athens-Clarke County
Commercial Curbside Recycling Tonnage Detail
FY01 (July 1, 2000-June 30, 2001)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'CBD Info'!$A$18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Info'!$B$17:$M$17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Info'!$B$18:$M$18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16.79</c:v>
                </c:pt>
                <c:pt idx="3">
                  <c:v>21.380000000000003</c:v>
                </c:pt>
                <c:pt idx="4">
                  <c:v>30.98</c:v>
                </c:pt>
                <c:pt idx="5">
                  <c:v>22.290000000000003</c:v>
                </c:pt>
                <c:pt idx="6">
                  <c:v>40.5</c:v>
                </c:pt>
                <c:pt idx="7">
                  <c:v>18.39</c:v>
                </c:pt>
                <c:pt idx="8">
                  <c:v>17.919999999999998</c:v>
                </c:pt>
                <c:pt idx="9">
                  <c:v>19.43</c:v>
                </c:pt>
                <c:pt idx="10">
                  <c:v>16.23</c:v>
                </c:pt>
                <c:pt idx="11">
                  <c:v>13.21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'CBD Info'!$A$19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Info'!$B$17:$M$17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Info'!$B$19:$M$19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7.54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  <c:shape val="box"/>
        </c:ser>
        <c:overlap val="100"/>
        <c:shape val="box"/>
        <c:axId val="31676515"/>
        <c:axId val="16653180"/>
      </c:bar3DChart>
      <c:date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653180"/>
        <c:crosses val="autoZero"/>
        <c:auto val="0"/>
        <c:noMultiLvlLbl val="0"/>
      </c:dateAx>
      <c:valAx>
        <c:axId val="16653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6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Athens-Clarke County USD Residential Curbside Recycling Tonnage Summary FY01 (July 1, 2000-June 30, 2001)</a:t>
            </a:r>
          </a:p>
        </c:rich>
      </c:tx>
      <c:layout>
        <c:manualLayout>
          <c:xMode val="factor"/>
          <c:yMode val="factor"/>
          <c:x val="-0.01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6025"/>
          <c:w val="0.935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'USD Residential Curbside'!$A$23</c:f>
              <c:strCache>
                <c:ptCount val="1"/>
                <c:pt idx="0">
                  <c:v>Total Tonnage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'USD Residential Curbside'!$B$22:$M$22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'USD Residential Curbside'!$B$23:$M$23</c:f>
              <c:numCache>
                <c:ptCount val="12"/>
                <c:pt idx="0">
                  <c:v>112.31</c:v>
                </c:pt>
                <c:pt idx="1">
                  <c:v>153.53</c:v>
                </c:pt>
                <c:pt idx="2">
                  <c:v>140.87</c:v>
                </c:pt>
                <c:pt idx="3">
                  <c:v>146.23</c:v>
                </c:pt>
                <c:pt idx="4">
                  <c:v>144.48999999999998</c:v>
                </c:pt>
                <c:pt idx="5">
                  <c:v>129.26</c:v>
                </c:pt>
                <c:pt idx="6">
                  <c:v>143</c:v>
                </c:pt>
                <c:pt idx="7">
                  <c:v>122.44</c:v>
                </c:pt>
                <c:pt idx="8">
                  <c:v>135.57</c:v>
                </c:pt>
                <c:pt idx="9">
                  <c:v>127.13</c:v>
                </c:pt>
                <c:pt idx="10">
                  <c:v>149.04999999999998</c:v>
                </c:pt>
                <c:pt idx="11">
                  <c:v>132.49</c:v>
                </c:pt>
              </c:numCache>
            </c:numRef>
          </c:val>
          <c:smooth val="0"/>
        </c:ser>
        <c:marker val="1"/>
        <c:axId val="15660893"/>
        <c:axId val="6730310"/>
      </c:lineChart>
      <c:dateAx>
        <c:axId val="15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 val="autoZero"/>
        <c:auto val="0"/>
        <c:noMultiLvlLbl val="0"/>
      </c:dateAx>
      <c:valAx>
        <c:axId val="6730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660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Athens-Clarke County 
Residential Drop-Off Recycling Tonnage Summary 
FY01 (July 1, 2000-June 30, 2001)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275"/>
          <c:w val="0.990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'Drop-Off Sites'!$A$14</c:f>
              <c:strCache>
                <c:ptCount val="1"/>
                <c:pt idx="0">
                  <c:v>Total Tonnage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'Drop-Off Sites'!$B$13:$M$13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'Drop-Off Sites'!$B$14:$M$14</c:f>
              <c:numCache>
                <c:ptCount val="12"/>
                <c:pt idx="0">
                  <c:v>221.14999999999998</c:v>
                </c:pt>
                <c:pt idx="1">
                  <c:v>269.41999999999996</c:v>
                </c:pt>
                <c:pt idx="2">
                  <c:v>231.63</c:v>
                </c:pt>
                <c:pt idx="3">
                  <c:v>268.25</c:v>
                </c:pt>
                <c:pt idx="4">
                  <c:v>251.79000000000002</c:v>
                </c:pt>
                <c:pt idx="5">
                  <c:v>232.69</c:v>
                </c:pt>
                <c:pt idx="6">
                  <c:v>223.13000000000002</c:v>
                </c:pt>
                <c:pt idx="7">
                  <c:v>193.65</c:v>
                </c:pt>
                <c:pt idx="8">
                  <c:v>196.08999999999997</c:v>
                </c:pt>
                <c:pt idx="9">
                  <c:v>240.93</c:v>
                </c:pt>
                <c:pt idx="10">
                  <c:v>278.14</c:v>
                </c:pt>
                <c:pt idx="11">
                  <c:v>208.61</c:v>
                </c:pt>
              </c:numCache>
            </c:numRef>
          </c:val>
          <c:smooth val="0"/>
        </c:ser>
        <c:marker val="1"/>
        <c:axId val="60572791"/>
        <c:axId val="8284208"/>
      </c:lineChart>
      <c:date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84208"/>
        <c:crosses val="autoZero"/>
        <c:auto val="0"/>
        <c:noMultiLvlLbl val="0"/>
      </c:dateAx>
      <c:valAx>
        <c:axId val="828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Athens-Clarke County 
Commercial Curbside Recycling Tonnage Summary 
FY10 (July 1, 2000-June 30, 2001)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45"/>
          <c:w val="0.989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'CBD Info'!$A$23</c:f>
              <c:strCache>
                <c:ptCount val="1"/>
                <c:pt idx="0">
                  <c:v>Total Tonnage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'CBD Info'!$B$22:$M$22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Info'!$B$23:$M$23</c:f>
              <c:numCache>
                <c:ptCount val="12"/>
                <c:pt idx="0">
                  <c:v>40.019999999999996</c:v>
                </c:pt>
                <c:pt idx="1">
                  <c:v>21.59</c:v>
                </c:pt>
                <c:pt idx="2">
                  <c:v>24.33</c:v>
                </c:pt>
                <c:pt idx="3">
                  <c:v>37.910000000000004</c:v>
                </c:pt>
                <c:pt idx="4">
                  <c:v>48.400000000000006</c:v>
                </c:pt>
                <c:pt idx="5">
                  <c:v>47.52</c:v>
                </c:pt>
                <c:pt idx="6">
                  <c:v>61.25</c:v>
                </c:pt>
                <c:pt idx="7">
                  <c:v>38.39</c:v>
                </c:pt>
                <c:pt idx="8">
                  <c:v>34.62</c:v>
                </c:pt>
                <c:pt idx="9">
                  <c:v>38.43</c:v>
                </c:pt>
                <c:pt idx="10">
                  <c:v>28.83</c:v>
                </c:pt>
                <c:pt idx="11">
                  <c:v>18.37</c:v>
                </c:pt>
              </c:numCache>
            </c:numRef>
          </c:val>
          <c:smooth val="0"/>
        </c:ser>
        <c:marker val="1"/>
        <c:axId val="7449009"/>
        <c:axId val="67041082"/>
      </c:lineChart>
      <c:date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41082"/>
        <c:crosses val="autoZero"/>
        <c:auto val="0"/>
        <c:noMultiLvlLbl val="0"/>
      </c:dateAx>
      <c:valAx>
        <c:axId val="6704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4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Athens-Clarke County
Commercial Curbside Recycling Tonnage Detail
FY01 (July 1, 2000 - June 30, 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75"/>
          <c:w val="0.98075"/>
          <c:h val="0.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'CBD Info'!$A$7</c:f>
              <c:strCache>
                <c:ptCount val="1"/>
                <c:pt idx="0">
                  <c:v>Commingled 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Info'!$B$7:$M$7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6.09</c:v>
                </c:pt>
                <c:pt idx="3">
                  <c:v>9.98</c:v>
                </c:pt>
                <c:pt idx="4">
                  <c:v>7.48</c:v>
                </c:pt>
                <c:pt idx="5">
                  <c:v>3.28</c:v>
                </c:pt>
                <c:pt idx="6">
                  <c:v>3</c:v>
                </c:pt>
                <c:pt idx="7">
                  <c:v>2.04</c:v>
                </c:pt>
                <c:pt idx="8">
                  <c:v>1.18</c:v>
                </c:pt>
                <c:pt idx="9">
                  <c:v>0.98</c:v>
                </c:pt>
                <c:pt idx="10">
                  <c:v>3.66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'CBD Info'!$A$8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Info'!$B$8:$M$8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7.54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</c:ser>
        <c:ser>
          <c:idx val="2"/>
          <c:order val="2"/>
          <c:tx>
            <c:strRef>
              <c:f>'CBD Info'!$A$9</c:f>
              <c:strCache>
                <c:ptCount val="1"/>
                <c:pt idx="0">
                  <c:v>Presorted 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10.7</c:v>
                </c:pt>
                <c:pt idx="3">
                  <c:v>11.4</c:v>
                </c:pt>
                <c:pt idx="4">
                  <c:v>23.5</c:v>
                </c:pt>
                <c:pt idx="5">
                  <c:v>19.01</c:v>
                </c:pt>
                <c:pt idx="6">
                  <c:v>37.5</c:v>
                </c:pt>
                <c:pt idx="7">
                  <c:v>16.35</c:v>
                </c:pt>
                <c:pt idx="8">
                  <c:v>16.74</c:v>
                </c:pt>
                <c:pt idx="9">
                  <c:v>18.45</c:v>
                </c:pt>
                <c:pt idx="10">
                  <c:v>12.57</c:v>
                </c:pt>
                <c:pt idx="11">
                  <c:v>13.21</c:v>
                </c:pt>
              </c:numCache>
            </c:numRef>
          </c:val>
        </c:ser>
        <c:overlap val="100"/>
        <c:axId val="66498827"/>
        <c:axId val="61618532"/>
      </c:barChart>
      <c:dateAx>
        <c:axId val="6649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8532"/>
        <c:crosses val="autoZero"/>
        <c:auto val="0"/>
        <c:noMultiLvlLbl val="0"/>
      </c:dateAx>
      <c:valAx>
        <c:axId val="6161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9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5"/>
          <c:y val="0.979"/>
          <c:w val="0.431"/>
          <c:h val="0.01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Athens-Clarke County
Commercial Curbside Recycling Tonnage Detail
FY01 (July 1, 2000-June 30, 2001)</a:t>
            </a:r>
          </a:p>
        </c:rich>
      </c:tx>
      <c:layout>
        <c:manualLayout>
          <c:xMode val="factor"/>
          <c:yMode val="factor"/>
          <c:x val="0.00125"/>
          <c:y val="-0.005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11375"/>
          <c:w val="0.9915"/>
          <c:h val="0.84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'CBD Info'!$A$18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Info'!$B$17:$M$17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Info'!$B$18:$M$18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16.79</c:v>
                </c:pt>
                <c:pt idx="3">
                  <c:v>21.380000000000003</c:v>
                </c:pt>
                <c:pt idx="4">
                  <c:v>30.98</c:v>
                </c:pt>
                <c:pt idx="5">
                  <c:v>22.290000000000003</c:v>
                </c:pt>
                <c:pt idx="6">
                  <c:v>40.5</c:v>
                </c:pt>
                <c:pt idx="7">
                  <c:v>18.39</c:v>
                </c:pt>
                <c:pt idx="8">
                  <c:v>17.919999999999998</c:v>
                </c:pt>
                <c:pt idx="9">
                  <c:v>19.43</c:v>
                </c:pt>
                <c:pt idx="10">
                  <c:v>16.23</c:v>
                </c:pt>
                <c:pt idx="11">
                  <c:v>13.21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'CBD Info'!$A$19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Info'!$B$17:$M$17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Info'!$B$19:$M$19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7.54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  <c:shape val="box"/>
        </c:ser>
        <c:overlap val="100"/>
        <c:shape val="box"/>
        <c:axId val="17695877"/>
        <c:axId val="25045166"/>
      </c:bar3DChart>
      <c:dateAx>
        <c:axId val="17695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045166"/>
        <c:crosses val="autoZero"/>
        <c:auto val="0"/>
        <c:noMultiLvlLbl val="0"/>
      </c:dateAx>
      <c:valAx>
        <c:axId val="25045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95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Commingled Paper Tonnage at Athens-Clarke County RMPF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075"/>
          <c:w val="0.763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'Customer Detail'!$A$6</c:f>
              <c:strCache>
                <c:ptCount val="1"/>
                <c:pt idx="0">
                  <c:v>Residential Curbside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Detail'!$B$6:$M$6</c:f>
              <c:numCache>
                <c:ptCount val="12"/>
                <c:pt idx="0">
                  <c:v>70.68</c:v>
                </c:pt>
                <c:pt idx="1">
                  <c:v>99.52</c:v>
                </c:pt>
                <c:pt idx="2">
                  <c:v>93.75</c:v>
                </c:pt>
                <c:pt idx="3">
                  <c:v>97.41</c:v>
                </c:pt>
                <c:pt idx="4">
                  <c:v>99.13</c:v>
                </c:pt>
                <c:pt idx="5">
                  <c:v>89.53</c:v>
                </c:pt>
                <c:pt idx="6">
                  <c:v>88.71</c:v>
                </c:pt>
                <c:pt idx="7">
                  <c:v>78.68</c:v>
                </c:pt>
                <c:pt idx="8">
                  <c:v>89.38</c:v>
                </c:pt>
                <c:pt idx="9">
                  <c:v>81.4</c:v>
                </c:pt>
                <c:pt idx="10">
                  <c:v>91.63</c:v>
                </c:pt>
                <c:pt idx="11">
                  <c:v>83.86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Detail'!$A$7</c:f>
              <c:strCache>
                <c:ptCount val="1"/>
                <c:pt idx="0">
                  <c:v>Residential Drop-Off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Detail'!$B$7:$M$7</c:f>
              <c:numCache>
                <c:ptCount val="12"/>
                <c:pt idx="0">
                  <c:v>126.88</c:v>
                </c:pt>
                <c:pt idx="1">
                  <c:v>172.73</c:v>
                </c:pt>
                <c:pt idx="2">
                  <c:v>139.28</c:v>
                </c:pt>
                <c:pt idx="3">
                  <c:v>150.19</c:v>
                </c:pt>
                <c:pt idx="4">
                  <c:v>160.4</c:v>
                </c:pt>
                <c:pt idx="5">
                  <c:v>136.03</c:v>
                </c:pt>
                <c:pt idx="6">
                  <c:v>137.03</c:v>
                </c:pt>
                <c:pt idx="7">
                  <c:v>112.87</c:v>
                </c:pt>
                <c:pt idx="8">
                  <c:v>135.92</c:v>
                </c:pt>
                <c:pt idx="9">
                  <c:v>128.65</c:v>
                </c:pt>
                <c:pt idx="10">
                  <c:v>146.58</c:v>
                </c:pt>
                <c:pt idx="11">
                  <c:v>130.93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Detail'!$A$8</c:f>
              <c:strCache>
                <c:ptCount val="1"/>
                <c:pt idx="0">
                  <c:v>Commercial CBD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Detail'!$B$8:$I$8</c:f>
              <c:numCache>
                <c:ptCount val="8"/>
                <c:pt idx="0">
                  <c:v>18.45</c:v>
                </c:pt>
                <c:pt idx="1">
                  <c:v>12.87</c:v>
                </c:pt>
                <c:pt idx="2">
                  <c:v>6.09</c:v>
                </c:pt>
                <c:pt idx="3">
                  <c:v>9.98</c:v>
                </c:pt>
                <c:pt idx="4">
                  <c:v>7.48</c:v>
                </c:pt>
                <c:pt idx="5">
                  <c:v>3.28</c:v>
                </c:pt>
                <c:pt idx="6">
                  <c:v>3</c:v>
                </c:pt>
                <c:pt idx="7">
                  <c:v>2.04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Detail'!$A$9</c:f>
              <c:strCache>
                <c:ptCount val="1"/>
                <c:pt idx="0">
                  <c:v>Commercial Dumpster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Detail'!$B$9:$M$9</c:f>
              <c:numCache>
                <c:ptCount val="12"/>
                <c:pt idx="0">
                  <c:v>9.08</c:v>
                </c:pt>
                <c:pt idx="1">
                  <c:v>24.2</c:v>
                </c:pt>
                <c:pt idx="2">
                  <c:v>15.15</c:v>
                </c:pt>
                <c:pt idx="3">
                  <c:v>0.79</c:v>
                </c:pt>
                <c:pt idx="4">
                  <c:v>9.41</c:v>
                </c:pt>
                <c:pt idx="5">
                  <c:v>9.42</c:v>
                </c:pt>
                <c:pt idx="6">
                  <c:v>4.14</c:v>
                </c:pt>
                <c:pt idx="7">
                  <c:v>4.58</c:v>
                </c:pt>
                <c:pt idx="8">
                  <c:v>12.74</c:v>
                </c:pt>
                <c:pt idx="9">
                  <c:v>1.04</c:v>
                </c:pt>
                <c:pt idx="10">
                  <c:v>31.16</c:v>
                </c:pt>
                <c:pt idx="11">
                  <c:v>26.36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'Customer Detail'!$A$13</c:f>
              <c:strCache>
                <c:ptCount val="1"/>
                <c:pt idx="0">
                  <c:v>United/Robertson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Detail'!$B$13:$M$13</c:f>
              <c:numCache>
                <c:ptCount val="12"/>
                <c:pt idx="0">
                  <c:v>72.29</c:v>
                </c:pt>
                <c:pt idx="1">
                  <c:v>83.33</c:v>
                </c:pt>
                <c:pt idx="2">
                  <c:v>74.81</c:v>
                </c:pt>
                <c:pt idx="3">
                  <c:v>85.41</c:v>
                </c:pt>
                <c:pt idx="4">
                  <c:v>79.09</c:v>
                </c:pt>
                <c:pt idx="5">
                  <c:v>65.71</c:v>
                </c:pt>
                <c:pt idx="6">
                  <c:v>77.19</c:v>
                </c:pt>
                <c:pt idx="7">
                  <c:v>58.58</c:v>
                </c:pt>
                <c:pt idx="8">
                  <c:v>76.41</c:v>
                </c:pt>
                <c:pt idx="9">
                  <c:v>63.67</c:v>
                </c:pt>
                <c:pt idx="10">
                  <c:v>69.1</c:v>
                </c:pt>
                <c:pt idx="11">
                  <c:v>55.6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'Customer Detail'!$A$15</c:f>
              <c:strCache>
                <c:ptCount val="1"/>
                <c:pt idx="0">
                  <c:v>Sinclair Disposal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Detail'!$B$15:$M$15</c:f>
              <c:numCache>
                <c:ptCount val="12"/>
                <c:pt idx="0">
                  <c:v>6.14</c:v>
                </c:pt>
                <c:pt idx="1">
                  <c:v>12.45</c:v>
                </c:pt>
                <c:pt idx="2">
                  <c:v>5.62</c:v>
                </c:pt>
                <c:pt idx="3">
                  <c:v>11.99</c:v>
                </c:pt>
                <c:pt idx="8">
                  <c:v>6.17</c:v>
                </c:pt>
                <c:pt idx="9">
                  <c:v>6.27</c:v>
                </c:pt>
                <c:pt idx="10">
                  <c:v>4.68</c:v>
                </c:pt>
                <c:pt idx="11">
                  <c:v>6.2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'Customer Detail'!$A$14</c:f>
              <c:strCache>
                <c:ptCount val="1"/>
                <c:pt idx="0">
                  <c:v>Oconee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Detail'!$B$14:$I$14</c:f>
              <c:numCache>
                <c:ptCount val="8"/>
                <c:pt idx="0">
                  <c:v>11.82</c:v>
                </c:pt>
                <c:pt idx="1">
                  <c:v>30.64</c:v>
                </c:pt>
                <c:pt idx="2">
                  <c:v>13.1</c:v>
                </c:pt>
                <c:pt idx="4">
                  <c:v>16.82</c:v>
                </c:pt>
                <c:pt idx="6">
                  <c:v>10.83</c:v>
                </c:pt>
                <c:pt idx="7">
                  <c:v>15.31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'Customer Detail'!$A$21</c:f>
              <c:strCache>
                <c:ptCount val="1"/>
                <c:pt idx="0">
                  <c:v>Johnson &amp; Sons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Detail'!$B$21:$I$21</c:f>
              <c:numCache>
                <c:ptCount val="8"/>
                <c:pt idx="3">
                  <c:v>0.41</c:v>
                </c:pt>
                <c:pt idx="4">
                  <c:v>0.35</c:v>
                </c:pt>
                <c:pt idx="5">
                  <c:v>0.53</c:v>
                </c:pt>
                <c:pt idx="6">
                  <c:v>0.66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'Customer Detail'!$A$19</c:f>
              <c:strCache>
                <c:ptCount val="1"/>
                <c:pt idx="0">
                  <c:v>City of Comer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Detail'!$B$19:$M$19</c:f>
              <c:numCache>
                <c:ptCount val="12"/>
                <c:pt idx="0">
                  <c:v>3.7</c:v>
                </c:pt>
                <c:pt idx="1">
                  <c:v>4.86</c:v>
                </c:pt>
                <c:pt idx="2">
                  <c:v>7.8</c:v>
                </c:pt>
                <c:pt idx="3">
                  <c:v>8.93</c:v>
                </c:pt>
                <c:pt idx="4">
                  <c:v>9.55</c:v>
                </c:pt>
                <c:pt idx="5">
                  <c:v>5.34</c:v>
                </c:pt>
                <c:pt idx="6">
                  <c:v>7.33</c:v>
                </c:pt>
                <c:pt idx="7">
                  <c:v>3.03</c:v>
                </c:pt>
                <c:pt idx="8">
                  <c:v>5.93</c:v>
                </c:pt>
                <c:pt idx="9">
                  <c:v>4.25</c:v>
                </c:pt>
                <c:pt idx="10">
                  <c:v>3.62</c:v>
                </c:pt>
                <c:pt idx="11">
                  <c:v>5.54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'Customer Detail'!$A$22</c:f>
              <c:strCache>
                <c:ptCount val="1"/>
                <c:pt idx="0">
                  <c:v>Ga Waste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Detail'!$B$22:$I$22</c:f>
              <c:numCache>
                <c:ptCount val="8"/>
                <c:pt idx="0">
                  <c:v>11.51</c:v>
                </c:pt>
                <c:pt idx="1">
                  <c:v>16.02</c:v>
                </c:pt>
                <c:pt idx="2">
                  <c:v>12.53</c:v>
                </c:pt>
                <c:pt idx="3">
                  <c:v>13.39</c:v>
                </c:pt>
                <c:pt idx="4">
                  <c:v>16.35</c:v>
                </c:pt>
                <c:pt idx="5">
                  <c:v>13.2</c:v>
                </c:pt>
                <c:pt idx="6">
                  <c:v>10.47</c:v>
                </c:pt>
                <c:pt idx="7">
                  <c:v>11.34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'Customer Detail'!$A$25</c:f>
              <c:strCache>
                <c:ptCount val="1"/>
                <c:pt idx="0">
                  <c:v>F4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Detail'!$B$25:$M$25</c:f>
              <c:numCache>
                <c:ptCount val="12"/>
                <c:pt idx="0">
                  <c:v>8.06</c:v>
                </c:pt>
                <c:pt idx="1">
                  <c:v>10.81</c:v>
                </c:pt>
                <c:pt idx="2">
                  <c:v>9.95</c:v>
                </c:pt>
                <c:pt idx="3">
                  <c:v>10.6</c:v>
                </c:pt>
                <c:pt idx="4">
                  <c:v>11.719999999999999</c:v>
                </c:pt>
                <c:pt idx="5">
                  <c:v>9.07</c:v>
                </c:pt>
                <c:pt idx="6">
                  <c:v>9.46</c:v>
                </c:pt>
                <c:pt idx="7">
                  <c:v>8.52</c:v>
                </c:pt>
                <c:pt idx="8">
                  <c:v>9.06</c:v>
                </c:pt>
                <c:pt idx="9">
                  <c:v>8.79</c:v>
                </c:pt>
                <c:pt idx="10">
                  <c:v>10.42</c:v>
                </c:pt>
                <c:pt idx="11">
                  <c:v>4.67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'Customer Detail'!$A$26</c:f>
              <c:strCache>
                <c:ptCount val="1"/>
                <c:pt idx="0">
                  <c:v>Oglethorpe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Detail'!$B$26:$M$26</c:f>
              <c:numCache>
                <c:ptCount val="12"/>
                <c:pt idx="0">
                  <c:v>8.1</c:v>
                </c:pt>
                <c:pt idx="1">
                  <c:v>5.89</c:v>
                </c:pt>
                <c:pt idx="2">
                  <c:v>10.43</c:v>
                </c:pt>
                <c:pt idx="3">
                  <c:v>10.43</c:v>
                </c:pt>
                <c:pt idx="4">
                  <c:v>7.41</c:v>
                </c:pt>
                <c:pt idx="5">
                  <c:v>6.6</c:v>
                </c:pt>
                <c:pt idx="6">
                  <c:v>6.67</c:v>
                </c:pt>
                <c:pt idx="7">
                  <c:v>6.82</c:v>
                </c:pt>
                <c:pt idx="8">
                  <c:v>8.57</c:v>
                </c:pt>
                <c:pt idx="9">
                  <c:v>10.7</c:v>
                </c:pt>
                <c:pt idx="10">
                  <c:v>9.06</c:v>
                </c:pt>
                <c:pt idx="11">
                  <c:v>11.73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'Customer Detail'!$A$27</c:f>
              <c:strCache>
                <c:ptCount val="1"/>
                <c:pt idx="0">
                  <c:v>Prospect Recycling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Detail'!$B$27:$I$27</c:f>
              <c:numCache>
                <c:ptCount val="8"/>
              </c:numCache>
            </c:numRef>
          </c:val>
          <c:smooth val="0"/>
        </c:ser>
        <c:ser>
          <c:idx val="13"/>
          <c:order val="13"/>
          <c:tx>
            <c:strRef>
              <c:f>'Customer Detail'!$A$28</c:f>
              <c:strCache>
                <c:ptCount val="1"/>
                <c:pt idx="0">
                  <c:v>Walton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Detail'!$B$28:$I$28</c:f>
              <c:numCache>
                <c:ptCount val="8"/>
              </c:numCache>
            </c:numRef>
          </c:val>
          <c:smooth val="0"/>
        </c:ser>
        <c:ser>
          <c:idx val="14"/>
          <c:order val="14"/>
          <c:tx>
            <c:strRef>
              <c:f>'Customer Detail'!$A$29</c:f>
              <c:strCache>
                <c:ptCount val="1"/>
                <c:pt idx="0">
                  <c:v>Madison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Detail'!$B$29:$I$29</c:f>
              <c:numCache>
                <c:ptCount val="8"/>
              </c:numCache>
            </c:numRef>
          </c:val>
          <c:smooth val="0"/>
        </c:ser>
        <c:ser>
          <c:idx val="15"/>
          <c:order val="15"/>
          <c:tx>
            <c:strRef>
              <c:f>'Customer Detail'!$A$30</c:f>
              <c:strCache>
                <c:ptCount val="1"/>
                <c:pt idx="0">
                  <c:v>BFI,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Detail'!$B$30:$I$30</c:f>
              <c:numCache>
                <c:ptCount val="8"/>
              </c:numCache>
            </c:numRef>
          </c:val>
          <c:smooth val="0"/>
        </c:ser>
        <c:ser>
          <c:idx val="16"/>
          <c:order val="16"/>
          <c:tx>
            <c:strRef>
              <c:f>'Customer Detail'!$A$31</c:f>
              <c:strCache>
                <c:ptCount val="1"/>
                <c:pt idx="0">
                  <c:v>Northeast Waste/USA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Detail'!$B$31:$I$31</c:f>
              <c:numCache>
                <c:ptCount val="8"/>
                <c:pt idx="2">
                  <c:v>9.32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'Customer Detail'!$A$32</c:f>
              <c:strCache>
                <c:ptCount val="1"/>
                <c:pt idx="0">
                  <c:v>Johnson &amp; Johnson,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Detail'!$B$32:$I$32</c:f>
              <c:numCache>
                <c:ptCount val="8"/>
              </c:numCache>
            </c:numRef>
          </c:val>
          <c:smooth val="0"/>
        </c:ser>
        <c:ser>
          <c:idx val="18"/>
          <c:order val="18"/>
          <c:tx>
            <c:strRef>
              <c:f>'Customer Detail'!$A$20</c:f>
              <c:strCache>
                <c:ptCount val="1"/>
                <c:pt idx="0">
                  <c:v>Athens Mailing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Detail'!$B$20:$I$20</c:f>
              <c:numCache>
                <c:ptCount val="8"/>
                <c:pt idx="1">
                  <c:v>1.04</c:v>
                </c:pt>
                <c:pt idx="3">
                  <c:v>0.9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'Customer Detail'!$A$33</c:f>
              <c:strCache>
                <c:ptCount val="1"/>
                <c:pt idx="0">
                  <c:v>Bolton Enterprises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Detail'!$B$33:$I$33</c:f>
              <c:numCache>
                <c:ptCount val="8"/>
                <c:pt idx="6">
                  <c:v>0.62</c:v>
                </c:pt>
                <c:pt idx="7">
                  <c:v>0.47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'Customer Detail'!$A$35</c:f>
              <c:strCache>
                <c:ptCount val="1"/>
                <c:pt idx="0">
                  <c:v>Oconee Waste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Detail'!$B$35:$I$35</c:f>
              <c:numCache>
                <c:ptCount val="8"/>
              </c:numCache>
            </c:numRef>
          </c:val>
          <c:smooth val="0"/>
        </c:ser>
        <c:ser>
          <c:idx val="22"/>
          <c:order val="22"/>
          <c:tx>
            <c:strRef>
              <c:f>'Customer Detail'!$A$36</c:f>
              <c:strCache>
                <c:ptCount val="1"/>
                <c:pt idx="0">
                  <c:v>Hart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Detail'!$B$36:$I$36</c:f>
              <c:numCache>
                <c:ptCount val="8"/>
              </c:numCache>
            </c:numRef>
          </c:val>
          <c:smooth val="0"/>
        </c:ser>
        <c:ser>
          <c:idx val="23"/>
          <c:order val="23"/>
          <c:tx>
            <c:strRef>
              <c:f>'Customer Detail'!$A$37</c:f>
              <c:strCache>
                <c:ptCount val="1"/>
                <c:pt idx="0">
                  <c:v>Waste Recycling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Detail'!$B$37:$M$37</c:f>
              <c:numCache>
                <c:ptCount val="12"/>
                <c:pt idx="4">
                  <c:v>0.77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'Customer Detail'!$A$38</c:f>
              <c:strCache>
                <c:ptCount val="1"/>
                <c:pt idx="0">
                  <c:v>Classic City Moving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Detail'!$B$38:$I$38</c:f>
              <c:numCache>
                <c:ptCount val="8"/>
              </c:numCache>
            </c:numRef>
          </c:val>
          <c:smooth val="0"/>
        </c:ser>
        <c:ser>
          <c:idx val="25"/>
          <c:order val="25"/>
          <c:tx>
            <c:strRef>
              <c:f>'Customer Detail'!$A$43</c:f>
              <c:strCache>
                <c:ptCount val="1"/>
                <c:pt idx="0">
                  <c:v>Greenville, S.C.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Detail'!$B$5:$I$5</c:f>
              <c:strCache>
                <c:ptCount val="8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</c:strCache>
            </c:strRef>
          </c:cat>
          <c:val>
            <c:numRef>
              <c:f>'Customer Detail'!$B$43:$I$43</c:f>
              <c:numCache>
                <c:ptCount val="8"/>
              </c:numCache>
            </c:numRef>
          </c:val>
          <c:smooth val="0"/>
        </c:ser>
        <c:marker val="1"/>
        <c:axId val="26221541"/>
        <c:axId val="34667278"/>
      </c:lineChart>
      <c:date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auto val="0"/>
        <c:noMultiLvlLbl val="0"/>
      </c:dateAx>
      <c:valAx>
        <c:axId val="3466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Commingled Paper Tonnage for
ACC Recycling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'Customer Detail'!$A$6</c:f>
              <c:strCache>
                <c:ptCount val="1"/>
                <c:pt idx="0">
                  <c:v>Residential Curbside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Detail'!$B$6:$M$6</c:f>
              <c:numCache>
                <c:ptCount val="12"/>
                <c:pt idx="0">
                  <c:v>70.68</c:v>
                </c:pt>
                <c:pt idx="1">
                  <c:v>99.52</c:v>
                </c:pt>
                <c:pt idx="2">
                  <c:v>93.75</c:v>
                </c:pt>
                <c:pt idx="3">
                  <c:v>97.41</c:v>
                </c:pt>
                <c:pt idx="4">
                  <c:v>99.13</c:v>
                </c:pt>
                <c:pt idx="5">
                  <c:v>89.53</c:v>
                </c:pt>
                <c:pt idx="6">
                  <c:v>88.71</c:v>
                </c:pt>
                <c:pt idx="7">
                  <c:v>78.68</c:v>
                </c:pt>
                <c:pt idx="8">
                  <c:v>89.38</c:v>
                </c:pt>
                <c:pt idx="9">
                  <c:v>81.4</c:v>
                </c:pt>
                <c:pt idx="10">
                  <c:v>91.63</c:v>
                </c:pt>
                <c:pt idx="11">
                  <c:v>83.86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Detail'!$A$7</c:f>
              <c:strCache>
                <c:ptCount val="1"/>
                <c:pt idx="0">
                  <c:v>Residential Drop-Off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Detail'!$B$7:$M$7</c:f>
              <c:numCache>
                <c:ptCount val="12"/>
                <c:pt idx="0">
                  <c:v>126.88</c:v>
                </c:pt>
                <c:pt idx="1">
                  <c:v>172.73</c:v>
                </c:pt>
                <c:pt idx="2">
                  <c:v>139.28</c:v>
                </c:pt>
                <c:pt idx="3">
                  <c:v>150.19</c:v>
                </c:pt>
                <c:pt idx="4">
                  <c:v>160.4</c:v>
                </c:pt>
                <c:pt idx="5">
                  <c:v>136.03</c:v>
                </c:pt>
                <c:pt idx="6">
                  <c:v>137.03</c:v>
                </c:pt>
                <c:pt idx="7">
                  <c:v>112.87</c:v>
                </c:pt>
                <c:pt idx="8">
                  <c:v>135.92</c:v>
                </c:pt>
                <c:pt idx="9">
                  <c:v>128.65</c:v>
                </c:pt>
                <c:pt idx="10">
                  <c:v>146.58</c:v>
                </c:pt>
                <c:pt idx="11">
                  <c:v>130.93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Detail'!$A$8</c:f>
              <c:strCache>
                <c:ptCount val="1"/>
                <c:pt idx="0">
                  <c:v>Commercial CBD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Detail'!$B$8:$M$8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6.09</c:v>
                </c:pt>
                <c:pt idx="3">
                  <c:v>9.98</c:v>
                </c:pt>
                <c:pt idx="4">
                  <c:v>7.48</c:v>
                </c:pt>
                <c:pt idx="5">
                  <c:v>3.28</c:v>
                </c:pt>
                <c:pt idx="6">
                  <c:v>3</c:v>
                </c:pt>
                <c:pt idx="7">
                  <c:v>2.04</c:v>
                </c:pt>
                <c:pt idx="8">
                  <c:v>1.18</c:v>
                </c:pt>
                <c:pt idx="9">
                  <c:v>0.98</c:v>
                </c:pt>
                <c:pt idx="10">
                  <c:v>3.66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Detail'!$A$9</c:f>
              <c:strCache>
                <c:ptCount val="1"/>
                <c:pt idx="0">
                  <c:v>Commercial Dumpster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Detail'!$B$5:$M$5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Detail'!$B$9:$M$9</c:f>
              <c:numCache>
                <c:ptCount val="12"/>
                <c:pt idx="0">
                  <c:v>9.08</c:v>
                </c:pt>
                <c:pt idx="1">
                  <c:v>24.2</c:v>
                </c:pt>
                <c:pt idx="2">
                  <c:v>15.15</c:v>
                </c:pt>
                <c:pt idx="3">
                  <c:v>0.79</c:v>
                </c:pt>
                <c:pt idx="4">
                  <c:v>9.41</c:v>
                </c:pt>
                <c:pt idx="5">
                  <c:v>9.42</c:v>
                </c:pt>
                <c:pt idx="6">
                  <c:v>4.14</c:v>
                </c:pt>
                <c:pt idx="7">
                  <c:v>4.58</c:v>
                </c:pt>
                <c:pt idx="8">
                  <c:v>12.74</c:v>
                </c:pt>
                <c:pt idx="9">
                  <c:v>1.04</c:v>
                </c:pt>
                <c:pt idx="10">
                  <c:v>31.16</c:v>
                </c:pt>
                <c:pt idx="11">
                  <c:v>26.36</c:v>
                </c:pt>
              </c:numCache>
            </c:numRef>
          </c:val>
          <c:smooth val="0"/>
        </c:ser>
        <c:marker val="1"/>
        <c:axId val="43570047"/>
        <c:axId val="56586104"/>
      </c:lineChart>
      <c:date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auto val="0"/>
        <c:noMultiLvlLbl val="0"/>
      </c:dateAx>
      <c:valAx>
        <c:axId val="5658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0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Bottles &amp; Cans Tonnage for
ACC Recycling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'Customer Detail'!$A$52</c:f>
              <c:strCache>
                <c:ptCount val="1"/>
                <c:pt idx="0">
                  <c:v>Residential Curbside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Detail'!$B$51:$M$51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Detail'!$B$52:$M$52</c:f>
              <c:numCache>
                <c:ptCount val="12"/>
                <c:pt idx="0">
                  <c:v>41.63</c:v>
                </c:pt>
                <c:pt idx="1">
                  <c:v>54.01</c:v>
                </c:pt>
                <c:pt idx="2">
                  <c:v>44.35</c:v>
                </c:pt>
                <c:pt idx="3">
                  <c:v>48.82</c:v>
                </c:pt>
                <c:pt idx="4">
                  <c:v>42.23</c:v>
                </c:pt>
                <c:pt idx="5">
                  <c:v>39.73</c:v>
                </c:pt>
                <c:pt idx="6">
                  <c:v>54.29</c:v>
                </c:pt>
                <c:pt idx="7">
                  <c:v>43.76</c:v>
                </c:pt>
                <c:pt idx="8">
                  <c:v>46.19</c:v>
                </c:pt>
                <c:pt idx="9">
                  <c:v>45.73</c:v>
                </c:pt>
                <c:pt idx="10">
                  <c:v>55.76</c:v>
                </c:pt>
                <c:pt idx="11">
                  <c:v>48.63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Detail'!$A$53</c:f>
              <c:strCache>
                <c:ptCount val="1"/>
                <c:pt idx="0">
                  <c:v>Residential Drop-Off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Detail'!$B$51:$M$51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Detail'!$B$53:$M$53</c:f>
              <c:numCache>
                <c:ptCount val="12"/>
                <c:pt idx="0">
                  <c:v>47.54</c:v>
                </c:pt>
                <c:pt idx="1">
                  <c:v>55.05</c:v>
                </c:pt>
                <c:pt idx="2">
                  <c:v>42.42</c:v>
                </c:pt>
                <c:pt idx="3">
                  <c:v>52.39</c:v>
                </c:pt>
                <c:pt idx="4">
                  <c:v>41.74</c:v>
                </c:pt>
                <c:pt idx="5">
                  <c:v>40.65</c:v>
                </c:pt>
                <c:pt idx="6">
                  <c:v>48.9</c:v>
                </c:pt>
                <c:pt idx="7">
                  <c:v>31.71</c:v>
                </c:pt>
                <c:pt idx="8">
                  <c:v>54.61</c:v>
                </c:pt>
                <c:pt idx="9">
                  <c:v>49.35</c:v>
                </c:pt>
                <c:pt idx="10">
                  <c:v>47.87</c:v>
                </c:pt>
                <c:pt idx="11">
                  <c:v>45.08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Detail'!$A$54</c:f>
              <c:strCache>
                <c:ptCount val="1"/>
                <c:pt idx="0">
                  <c:v>Commercial CBD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Detail'!$B$51:$M$51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Detail'!$B$54:$M$54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7.539999999999999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Detail'!$A$55</c:f>
              <c:strCache>
                <c:ptCount val="1"/>
                <c:pt idx="0">
                  <c:v>Commercial Dumpster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Detail'!$B$51:$M$51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Detail'!$B$55:$M$55</c:f>
              <c:numCache>
                <c:ptCount val="12"/>
                <c:pt idx="0">
                  <c:v>3.71</c:v>
                </c:pt>
                <c:pt idx="1">
                  <c:v>10.84</c:v>
                </c:pt>
                <c:pt idx="2">
                  <c:v>16.79</c:v>
                </c:pt>
                <c:pt idx="3">
                  <c:v>5.23</c:v>
                </c:pt>
                <c:pt idx="4">
                  <c:v>7.2</c:v>
                </c:pt>
                <c:pt idx="5">
                  <c:v>4.75</c:v>
                </c:pt>
                <c:pt idx="6">
                  <c:v>4.8</c:v>
                </c:pt>
                <c:pt idx="7">
                  <c:v>4.53</c:v>
                </c:pt>
                <c:pt idx="8">
                  <c:v>7.03</c:v>
                </c:pt>
                <c:pt idx="9">
                  <c:v>4.8</c:v>
                </c:pt>
                <c:pt idx="10">
                  <c:v>10.05</c:v>
                </c:pt>
                <c:pt idx="11">
                  <c:v>18.31</c:v>
                </c:pt>
              </c:numCache>
            </c:numRef>
          </c:val>
          <c:smooth val="0"/>
        </c:ser>
        <c:marker val="1"/>
        <c:axId val="39512889"/>
        <c:axId val="20071682"/>
      </c:lineChart>
      <c:date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auto val="0"/>
        <c:noMultiLvlLbl val="0"/>
      </c:dateAx>
      <c:valAx>
        <c:axId val="2007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Commingled Bottles &amp; Cans Tonnage for
Merchants ONLY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'Customer Detail'!$A$59</c:f>
              <c:strCache>
                <c:ptCount val="1"/>
                <c:pt idx="0">
                  <c:v>United/Robertson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Detail'!$B$59:$M$59</c:f>
              <c:numCache>
                <c:ptCount val="12"/>
                <c:pt idx="0">
                  <c:v>35.79</c:v>
                </c:pt>
                <c:pt idx="1">
                  <c:v>36.54</c:v>
                </c:pt>
                <c:pt idx="2">
                  <c:v>39.85</c:v>
                </c:pt>
                <c:pt idx="3">
                  <c:v>33.98</c:v>
                </c:pt>
                <c:pt idx="4">
                  <c:v>30.150000000000002</c:v>
                </c:pt>
                <c:pt idx="5">
                  <c:v>26.53</c:v>
                </c:pt>
                <c:pt idx="6">
                  <c:v>35.23</c:v>
                </c:pt>
                <c:pt idx="7">
                  <c:v>28.55</c:v>
                </c:pt>
                <c:pt idx="8">
                  <c:v>34.03</c:v>
                </c:pt>
                <c:pt idx="9">
                  <c:v>31.76</c:v>
                </c:pt>
                <c:pt idx="10">
                  <c:v>33.87</c:v>
                </c:pt>
                <c:pt idx="11">
                  <c:v>29.17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Detail'!$A$61</c:f>
              <c:strCache>
                <c:ptCount val="1"/>
                <c:pt idx="0">
                  <c:v>Sinclair Disposal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Detail'!$B$61:$M$61</c:f>
              <c:numCache>
                <c:ptCount val="12"/>
                <c:pt idx="0">
                  <c:v>0.47</c:v>
                </c:pt>
                <c:pt idx="2">
                  <c:v>0.52</c:v>
                </c:pt>
                <c:pt idx="9">
                  <c:v>0.44</c:v>
                </c:pt>
                <c:pt idx="10">
                  <c:v>3.61</c:v>
                </c:pt>
                <c:pt idx="11">
                  <c:v>0.45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Detail'!$A$60</c:f>
              <c:strCache>
                <c:ptCount val="1"/>
                <c:pt idx="0">
                  <c:v>Oconee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Detail'!$B$60:$M$60</c:f>
              <c:numCache>
                <c:ptCount val="12"/>
                <c:pt idx="0">
                  <c:v>7.36</c:v>
                </c:pt>
                <c:pt idx="1">
                  <c:v>11.93</c:v>
                </c:pt>
                <c:pt idx="2">
                  <c:v>7.05</c:v>
                </c:pt>
                <c:pt idx="3">
                  <c:v>8.58</c:v>
                </c:pt>
                <c:pt idx="4">
                  <c:v>8.27</c:v>
                </c:pt>
                <c:pt idx="5">
                  <c:v>3.85</c:v>
                </c:pt>
                <c:pt idx="6">
                  <c:v>8.27</c:v>
                </c:pt>
                <c:pt idx="7">
                  <c:v>17.29</c:v>
                </c:pt>
                <c:pt idx="8">
                  <c:v>11.32</c:v>
                </c:pt>
                <c:pt idx="9">
                  <c:v>6.86</c:v>
                </c:pt>
                <c:pt idx="10">
                  <c:v>12.16</c:v>
                </c:pt>
                <c:pt idx="11">
                  <c:v>6.59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Detail'!$A$65</c:f>
              <c:strCache>
                <c:ptCount val="1"/>
                <c:pt idx="0">
                  <c:v>Johnson &amp; Sons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Detail'!$B$65:$M$65</c:f>
              <c:numCache>
                <c:ptCount val="12"/>
                <c:pt idx="2">
                  <c:v>0.79</c:v>
                </c:pt>
                <c:pt idx="4">
                  <c:v>0.3</c:v>
                </c:pt>
                <c:pt idx="6">
                  <c:v>0.37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'Customer Detail'!$A$66</c:f>
              <c:strCache>
                <c:ptCount val="1"/>
                <c:pt idx="0">
                  <c:v>City of Comer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Detail'!$B$66:$M$66</c:f>
              <c:numCache>
                <c:ptCount val="12"/>
                <c:pt idx="0">
                  <c:v>2.13</c:v>
                </c:pt>
                <c:pt idx="1">
                  <c:v>2.4</c:v>
                </c:pt>
                <c:pt idx="2">
                  <c:v>2.08</c:v>
                </c:pt>
                <c:pt idx="3">
                  <c:v>2.23</c:v>
                </c:pt>
                <c:pt idx="4">
                  <c:v>2.34</c:v>
                </c:pt>
                <c:pt idx="5">
                  <c:v>1.77</c:v>
                </c:pt>
                <c:pt idx="6">
                  <c:v>2.71</c:v>
                </c:pt>
                <c:pt idx="7">
                  <c:v>2.51</c:v>
                </c:pt>
                <c:pt idx="8">
                  <c:v>2.02</c:v>
                </c:pt>
                <c:pt idx="9">
                  <c:v>3.5</c:v>
                </c:pt>
                <c:pt idx="10">
                  <c:v>2.64</c:v>
                </c:pt>
                <c:pt idx="11">
                  <c:v>2.58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'Customer Detail'!$A$67</c:f>
              <c:strCache>
                <c:ptCount val="1"/>
                <c:pt idx="0">
                  <c:v>Ga Waste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Detail'!$B$67:$M$67</c:f>
              <c:numCache>
                <c:ptCount val="12"/>
                <c:pt idx="0">
                  <c:v>6.54</c:v>
                </c:pt>
                <c:pt idx="1">
                  <c:v>7.36</c:v>
                </c:pt>
                <c:pt idx="2">
                  <c:v>6.22</c:v>
                </c:pt>
                <c:pt idx="3">
                  <c:v>5.98</c:v>
                </c:pt>
                <c:pt idx="4">
                  <c:v>7.34</c:v>
                </c:pt>
                <c:pt idx="5">
                  <c:v>6.33</c:v>
                </c:pt>
                <c:pt idx="6">
                  <c:v>6.04</c:v>
                </c:pt>
                <c:pt idx="7">
                  <c:v>5.91</c:v>
                </c:pt>
                <c:pt idx="8">
                  <c:v>7.31</c:v>
                </c:pt>
                <c:pt idx="9">
                  <c:v>7.23</c:v>
                </c:pt>
                <c:pt idx="10">
                  <c:v>6.85</c:v>
                </c:pt>
                <c:pt idx="11">
                  <c:v>8.95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'Customer Detail'!$A$70</c:f>
              <c:strCache>
                <c:ptCount val="1"/>
                <c:pt idx="0">
                  <c:v>F4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Detail'!$B$70:$M$70</c:f>
              <c:numCache>
                <c:ptCount val="12"/>
                <c:pt idx="0">
                  <c:v>3.51</c:v>
                </c:pt>
                <c:pt idx="1">
                  <c:v>4.05</c:v>
                </c:pt>
                <c:pt idx="2">
                  <c:v>3.28</c:v>
                </c:pt>
                <c:pt idx="3">
                  <c:v>3.91</c:v>
                </c:pt>
                <c:pt idx="4">
                  <c:v>3.56</c:v>
                </c:pt>
                <c:pt idx="5">
                  <c:v>3.35</c:v>
                </c:pt>
                <c:pt idx="6">
                  <c:v>3.92</c:v>
                </c:pt>
                <c:pt idx="7">
                  <c:v>3.5</c:v>
                </c:pt>
                <c:pt idx="8">
                  <c:v>3.47</c:v>
                </c:pt>
                <c:pt idx="9">
                  <c:v>3.66</c:v>
                </c:pt>
                <c:pt idx="10">
                  <c:v>4.12</c:v>
                </c:pt>
                <c:pt idx="11">
                  <c:v>2.36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'Customer Detail'!$A$71</c:f>
              <c:strCache>
                <c:ptCount val="1"/>
                <c:pt idx="0">
                  <c:v>Oglethorpe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Detail'!$B$71:$M$71</c:f>
              <c:numCache>
                <c:ptCount val="12"/>
                <c:pt idx="0">
                  <c:v>7.1</c:v>
                </c:pt>
                <c:pt idx="1">
                  <c:v>5.27</c:v>
                </c:pt>
                <c:pt idx="2">
                  <c:v>4.74</c:v>
                </c:pt>
                <c:pt idx="3">
                  <c:v>4.66</c:v>
                </c:pt>
                <c:pt idx="4">
                  <c:v>4.73</c:v>
                </c:pt>
                <c:pt idx="5">
                  <c:v>2.42</c:v>
                </c:pt>
                <c:pt idx="6">
                  <c:v>7.35</c:v>
                </c:pt>
                <c:pt idx="7">
                  <c:v>4.57</c:v>
                </c:pt>
                <c:pt idx="8">
                  <c:v>6.93</c:v>
                </c:pt>
                <c:pt idx="9">
                  <c:v>5.43</c:v>
                </c:pt>
                <c:pt idx="10">
                  <c:v>6.5</c:v>
                </c:pt>
                <c:pt idx="11">
                  <c:v>2.37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'Customer Detail'!$A$72</c:f>
              <c:strCache>
                <c:ptCount val="1"/>
                <c:pt idx="0">
                  <c:v>Prospect Recycling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Detail'!$B$72:$M$72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'Customer Detail'!$A$73</c:f>
              <c:strCache>
                <c:ptCount val="1"/>
                <c:pt idx="0">
                  <c:v>Walton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Detail'!$B$73:$M$73</c:f>
              <c:numCache>
                <c:ptCount val="12"/>
                <c:pt idx="0">
                  <c:v>19.81</c:v>
                </c:pt>
                <c:pt idx="1">
                  <c:v>5.82</c:v>
                </c:pt>
                <c:pt idx="2">
                  <c:v>8.77</c:v>
                </c:pt>
                <c:pt idx="3">
                  <c:v>14.38</c:v>
                </c:pt>
                <c:pt idx="4">
                  <c:v>3.38</c:v>
                </c:pt>
                <c:pt idx="5">
                  <c:v>1.71</c:v>
                </c:pt>
                <c:pt idx="6">
                  <c:v>10.9</c:v>
                </c:pt>
                <c:pt idx="7">
                  <c:v>10.44</c:v>
                </c:pt>
                <c:pt idx="8">
                  <c:v>9.5</c:v>
                </c:pt>
                <c:pt idx="9">
                  <c:v>11.47</c:v>
                </c:pt>
                <c:pt idx="10">
                  <c:v>10.58</c:v>
                </c:pt>
                <c:pt idx="11">
                  <c:v>10.77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'Customer Detail'!$A$74</c:f>
              <c:strCache>
                <c:ptCount val="1"/>
                <c:pt idx="0">
                  <c:v>Madison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Detail'!$B$74:$M$74</c:f>
              <c:numCache>
                <c:ptCount val="12"/>
                <c:pt idx="0">
                  <c:v>1.04</c:v>
                </c:pt>
                <c:pt idx="1">
                  <c:v>2.1</c:v>
                </c:pt>
                <c:pt idx="2">
                  <c:v>1.67</c:v>
                </c:pt>
                <c:pt idx="3">
                  <c:v>1.89</c:v>
                </c:pt>
                <c:pt idx="4">
                  <c:v>0.89</c:v>
                </c:pt>
                <c:pt idx="5">
                  <c:v>1.52</c:v>
                </c:pt>
                <c:pt idx="6">
                  <c:v>3.2</c:v>
                </c:pt>
                <c:pt idx="7">
                  <c:v>1.14</c:v>
                </c:pt>
                <c:pt idx="8">
                  <c:v>2.74</c:v>
                </c:pt>
                <c:pt idx="9">
                  <c:v>1.68</c:v>
                </c:pt>
                <c:pt idx="10">
                  <c:v>2.63</c:v>
                </c:pt>
                <c:pt idx="11">
                  <c:v>1.59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'Customer Detail'!$A$75</c:f>
              <c:strCache>
                <c:ptCount val="1"/>
                <c:pt idx="0">
                  <c:v>BFI,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Detail'!$B$75:$H$75</c:f>
              <c:numCache>
                <c:ptCount val="7"/>
              </c:numCache>
            </c:numRef>
          </c:val>
          <c:smooth val="0"/>
        </c:ser>
        <c:ser>
          <c:idx val="12"/>
          <c:order val="12"/>
          <c:tx>
            <c:strRef>
              <c:f>'Customer Detail'!$A$76</c:f>
              <c:strCache>
                <c:ptCount val="1"/>
                <c:pt idx="0">
                  <c:v>Northeast Waste/USA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Detail'!$B$76:$H$76</c:f>
              <c:numCache>
                <c:ptCount val="7"/>
                <c:pt idx="0">
                  <c:v>2.71</c:v>
                </c:pt>
                <c:pt idx="2">
                  <c:v>2.22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'Customer Detail'!$A$77</c:f>
              <c:strCache>
                <c:ptCount val="1"/>
                <c:pt idx="0">
                  <c:v>Johnson &amp; Johnson,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Detail'!$B$77:$H$77</c:f>
              <c:numCache>
                <c:ptCount val="7"/>
              </c:numCache>
            </c:numRef>
          </c:val>
          <c:smooth val="0"/>
        </c:ser>
        <c:ser>
          <c:idx val="14"/>
          <c:order val="14"/>
          <c:tx>
            <c:strRef>
              <c:f>'Customer Detail'!$A$78</c:f>
              <c:strCache>
                <c:ptCount val="1"/>
                <c:pt idx="0">
                  <c:v>Athens Mailing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Detail'!$B$78:$H$78</c:f>
              <c:numCache>
                <c:ptCount val="7"/>
              </c:numCache>
            </c:numRef>
          </c:val>
          <c:smooth val="0"/>
        </c:ser>
        <c:ser>
          <c:idx val="15"/>
          <c:order val="15"/>
          <c:tx>
            <c:strRef>
              <c:f>'Customer Detail'!$A$79</c:f>
              <c:strCache>
                <c:ptCount val="1"/>
                <c:pt idx="0">
                  <c:v>Bolton Enterprises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Detail'!$B$79:$H$79</c:f>
              <c:numCache>
                <c:ptCount val="7"/>
                <c:pt idx="6">
                  <c:v>0.36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'Customer Detail'!$A$80</c:f>
              <c:strCache>
                <c:ptCount val="1"/>
                <c:pt idx="0">
                  <c:v>Bulldog Waste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Detail'!$B$80:$H$80</c:f>
              <c:numCache>
                <c:ptCount val="7"/>
                <c:pt idx="6">
                  <c:v>0.07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'Customer Detail'!$A$81</c:f>
              <c:strCache>
                <c:ptCount val="1"/>
                <c:pt idx="0">
                  <c:v>Oconee Waste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Detail'!$B$81:$H$81</c:f>
              <c:numCache>
                <c:ptCount val="7"/>
              </c:numCache>
            </c:numRef>
          </c:val>
          <c:smooth val="0"/>
        </c:ser>
        <c:ser>
          <c:idx val="18"/>
          <c:order val="18"/>
          <c:tx>
            <c:strRef>
              <c:f>'Customer Detail'!$A$82</c:f>
              <c:strCache>
                <c:ptCount val="1"/>
                <c:pt idx="0">
                  <c:v>Hart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Detail'!$B$82:$M$82</c:f>
              <c:numCache>
                <c:ptCount val="12"/>
              </c:numCache>
            </c:numRef>
          </c:val>
          <c:smooth val="0"/>
        </c:ser>
        <c:ser>
          <c:idx val="19"/>
          <c:order val="19"/>
          <c:tx>
            <c:strRef>
              <c:f>'Customer Detail'!$A$83</c:f>
              <c:strCache>
                <c:ptCount val="1"/>
                <c:pt idx="0">
                  <c:v>Waste Recycling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Detail'!$B$83:$H$83</c:f>
              <c:numCache>
                <c:ptCount val="7"/>
                <c:pt idx="4">
                  <c:v>0.39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'Customer Detail'!$A$84</c:f>
              <c:strCache>
                <c:ptCount val="1"/>
                <c:pt idx="0">
                  <c:v>Classic City Moving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Detail'!$B$58:$H$58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Detail'!$B$84:$H$84</c:f>
              <c:numCache>
                <c:ptCount val="7"/>
              </c:numCache>
            </c:numRef>
          </c:val>
          <c:smooth val="0"/>
        </c:ser>
        <c:ser>
          <c:idx val="21"/>
          <c:order val="21"/>
          <c:tx>
            <c:strRef>
              <c:f>'Customer Detail'!$A$89</c:f>
              <c:strCache>
                <c:ptCount val="1"/>
                <c:pt idx="0">
                  <c:v>Greenville, S.C.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Detail'!$B$58:$M$58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Detail'!$B$89:$M$89</c:f>
              <c:numCache>
                <c:ptCount val="12"/>
              </c:numCache>
            </c:numRef>
          </c:val>
          <c:smooth val="0"/>
        </c:ser>
        <c:marker val="1"/>
        <c:axId val="46427411"/>
        <c:axId val="15193516"/>
      </c:lineChart>
      <c:dateAx>
        <c:axId val="4642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93516"/>
        <c:crosses val="autoZero"/>
        <c:auto val="0"/>
        <c:noMultiLvlLbl val="0"/>
      </c:dateAx>
      <c:valAx>
        <c:axId val="1519351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27411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Commingled Paper Tonnage for Merchants ONLY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525"/>
          <c:w val="0.71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'Customer Detail'!$A$13</c:f>
              <c:strCache>
                <c:ptCount val="1"/>
                <c:pt idx="0">
                  <c:v>United/Robertson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Detail'!$B$13:$M$13</c:f>
              <c:numCache>
                <c:ptCount val="12"/>
                <c:pt idx="0">
                  <c:v>72.29</c:v>
                </c:pt>
                <c:pt idx="1">
                  <c:v>83.33</c:v>
                </c:pt>
                <c:pt idx="2">
                  <c:v>74.81</c:v>
                </c:pt>
                <c:pt idx="3">
                  <c:v>85.41</c:v>
                </c:pt>
                <c:pt idx="4">
                  <c:v>79.09</c:v>
                </c:pt>
                <c:pt idx="5">
                  <c:v>65.71</c:v>
                </c:pt>
                <c:pt idx="6">
                  <c:v>77.19</c:v>
                </c:pt>
                <c:pt idx="7">
                  <c:v>58.58</c:v>
                </c:pt>
                <c:pt idx="8">
                  <c:v>76.41</c:v>
                </c:pt>
                <c:pt idx="9">
                  <c:v>63.67</c:v>
                </c:pt>
                <c:pt idx="10">
                  <c:v>69.1</c:v>
                </c:pt>
                <c:pt idx="11">
                  <c:v>55.6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Detail'!$A$15</c:f>
              <c:strCache>
                <c:ptCount val="1"/>
                <c:pt idx="0">
                  <c:v>Sinclair Disposal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Detail'!$B$15:$M$15</c:f>
              <c:numCache>
                <c:ptCount val="12"/>
                <c:pt idx="0">
                  <c:v>6.14</c:v>
                </c:pt>
                <c:pt idx="1">
                  <c:v>12.45</c:v>
                </c:pt>
                <c:pt idx="2">
                  <c:v>5.62</c:v>
                </c:pt>
                <c:pt idx="3">
                  <c:v>11.99</c:v>
                </c:pt>
                <c:pt idx="8">
                  <c:v>6.17</c:v>
                </c:pt>
                <c:pt idx="9">
                  <c:v>6.27</c:v>
                </c:pt>
                <c:pt idx="10">
                  <c:v>4.68</c:v>
                </c:pt>
                <c:pt idx="11">
                  <c:v>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Detail'!$A$14</c:f>
              <c:strCache>
                <c:ptCount val="1"/>
                <c:pt idx="0">
                  <c:v>Oconee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Detail'!$B$14:$H$14</c:f>
              <c:numCache>
                <c:ptCount val="7"/>
                <c:pt idx="0">
                  <c:v>11.82</c:v>
                </c:pt>
                <c:pt idx="1">
                  <c:v>30.64</c:v>
                </c:pt>
                <c:pt idx="2">
                  <c:v>13.1</c:v>
                </c:pt>
                <c:pt idx="4">
                  <c:v>16.82</c:v>
                </c:pt>
                <c:pt idx="6">
                  <c:v>10.83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Detail'!$A$21</c:f>
              <c:strCache>
                <c:ptCount val="1"/>
                <c:pt idx="0">
                  <c:v>Johnson &amp; Sons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Detail'!$B$21:$M$21</c:f>
              <c:numCache>
                <c:ptCount val="12"/>
                <c:pt idx="3">
                  <c:v>0.41</c:v>
                </c:pt>
                <c:pt idx="4">
                  <c:v>0.35</c:v>
                </c:pt>
                <c:pt idx="5">
                  <c:v>0.53</c:v>
                </c:pt>
                <c:pt idx="6">
                  <c:v>0.66</c:v>
                </c:pt>
                <c:pt idx="8">
                  <c:v>0.53</c:v>
                </c:pt>
                <c:pt idx="9">
                  <c:v>0.79</c:v>
                </c:pt>
                <c:pt idx="10">
                  <c:v>1.27</c:v>
                </c:pt>
                <c:pt idx="11">
                  <c:v>0.73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'Customer Detail'!$A$19</c:f>
              <c:strCache>
                <c:ptCount val="1"/>
                <c:pt idx="0">
                  <c:v>City of Comer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Detail'!$B$19:$M$19</c:f>
              <c:numCache>
                <c:ptCount val="12"/>
                <c:pt idx="0">
                  <c:v>3.7</c:v>
                </c:pt>
                <c:pt idx="1">
                  <c:v>4.86</c:v>
                </c:pt>
                <c:pt idx="2">
                  <c:v>7.8</c:v>
                </c:pt>
                <c:pt idx="3">
                  <c:v>8.93</c:v>
                </c:pt>
                <c:pt idx="4">
                  <c:v>9.55</c:v>
                </c:pt>
                <c:pt idx="5">
                  <c:v>5.34</c:v>
                </c:pt>
                <c:pt idx="6">
                  <c:v>7.33</c:v>
                </c:pt>
                <c:pt idx="7">
                  <c:v>3.03</c:v>
                </c:pt>
                <c:pt idx="8">
                  <c:v>5.93</c:v>
                </c:pt>
                <c:pt idx="9">
                  <c:v>4.25</c:v>
                </c:pt>
                <c:pt idx="10">
                  <c:v>3.62</c:v>
                </c:pt>
                <c:pt idx="11">
                  <c:v>5.54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'Customer Detail'!$A$22</c:f>
              <c:strCache>
                <c:ptCount val="1"/>
                <c:pt idx="0">
                  <c:v>Ga Waste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Detail'!$B$22:$M$22</c:f>
              <c:numCache>
                <c:ptCount val="12"/>
                <c:pt idx="0">
                  <c:v>11.51</c:v>
                </c:pt>
                <c:pt idx="1">
                  <c:v>16.02</c:v>
                </c:pt>
                <c:pt idx="2">
                  <c:v>12.53</c:v>
                </c:pt>
                <c:pt idx="3">
                  <c:v>13.39</c:v>
                </c:pt>
                <c:pt idx="4">
                  <c:v>16.35</c:v>
                </c:pt>
                <c:pt idx="5">
                  <c:v>13.2</c:v>
                </c:pt>
                <c:pt idx="6">
                  <c:v>10.47</c:v>
                </c:pt>
                <c:pt idx="7">
                  <c:v>11.34</c:v>
                </c:pt>
                <c:pt idx="8">
                  <c:v>13.46</c:v>
                </c:pt>
                <c:pt idx="9">
                  <c:v>12.78</c:v>
                </c:pt>
                <c:pt idx="10">
                  <c:v>11.99</c:v>
                </c:pt>
                <c:pt idx="11">
                  <c:v>15.86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'Customer Detail'!$A$25</c:f>
              <c:strCache>
                <c:ptCount val="1"/>
                <c:pt idx="0">
                  <c:v>F4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Detail'!$B$25:$M$25</c:f>
              <c:numCache>
                <c:ptCount val="12"/>
                <c:pt idx="0">
                  <c:v>8.06</c:v>
                </c:pt>
                <c:pt idx="1">
                  <c:v>10.81</c:v>
                </c:pt>
                <c:pt idx="2">
                  <c:v>9.95</c:v>
                </c:pt>
                <c:pt idx="3">
                  <c:v>10.6</c:v>
                </c:pt>
                <c:pt idx="4">
                  <c:v>11.719999999999999</c:v>
                </c:pt>
                <c:pt idx="5">
                  <c:v>9.07</c:v>
                </c:pt>
                <c:pt idx="6">
                  <c:v>9.46</c:v>
                </c:pt>
                <c:pt idx="7">
                  <c:v>8.52</c:v>
                </c:pt>
                <c:pt idx="8">
                  <c:v>9.06</c:v>
                </c:pt>
                <c:pt idx="9">
                  <c:v>8.79</c:v>
                </c:pt>
                <c:pt idx="10">
                  <c:v>10.42</c:v>
                </c:pt>
                <c:pt idx="11">
                  <c:v>4.67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'Customer Detail'!$A$26</c:f>
              <c:strCache>
                <c:ptCount val="1"/>
                <c:pt idx="0">
                  <c:v>Oglethorpe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Detail'!$B$26:$M$26</c:f>
              <c:numCache>
                <c:ptCount val="12"/>
                <c:pt idx="0">
                  <c:v>8.1</c:v>
                </c:pt>
                <c:pt idx="1">
                  <c:v>5.89</c:v>
                </c:pt>
                <c:pt idx="2">
                  <c:v>10.43</c:v>
                </c:pt>
                <c:pt idx="3">
                  <c:v>10.43</c:v>
                </c:pt>
                <c:pt idx="4">
                  <c:v>7.41</c:v>
                </c:pt>
                <c:pt idx="5">
                  <c:v>6.6</c:v>
                </c:pt>
                <c:pt idx="6">
                  <c:v>6.67</c:v>
                </c:pt>
                <c:pt idx="7">
                  <c:v>6.82</c:v>
                </c:pt>
                <c:pt idx="8">
                  <c:v>8.57</c:v>
                </c:pt>
                <c:pt idx="9">
                  <c:v>10.7</c:v>
                </c:pt>
                <c:pt idx="10">
                  <c:v>9.06</c:v>
                </c:pt>
                <c:pt idx="11">
                  <c:v>11.73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'Customer Detail'!$A$27</c:f>
              <c:strCache>
                <c:ptCount val="1"/>
                <c:pt idx="0">
                  <c:v>Prospect Recycling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Detail'!$B$27:$H$27</c:f>
              <c:numCache>
                <c:ptCount val="7"/>
              </c:numCache>
            </c:numRef>
          </c:val>
          <c:smooth val="0"/>
        </c:ser>
        <c:ser>
          <c:idx val="9"/>
          <c:order val="9"/>
          <c:tx>
            <c:strRef>
              <c:f>'Customer Detail'!$A$28</c:f>
              <c:strCache>
                <c:ptCount val="1"/>
                <c:pt idx="0">
                  <c:v>Walton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Detail'!$B$28:$H$28</c:f>
              <c:numCache>
                <c:ptCount val="7"/>
              </c:numCache>
            </c:numRef>
          </c:val>
          <c:smooth val="0"/>
        </c:ser>
        <c:ser>
          <c:idx val="10"/>
          <c:order val="10"/>
          <c:tx>
            <c:strRef>
              <c:f>'Customer Detail'!$A$29</c:f>
              <c:strCache>
                <c:ptCount val="1"/>
                <c:pt idx="0">
                  <c:v>Madison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Detail'!$B$29:$H$29</c:f>
              <c:numCache>
                <c:ptCount val="7"/>
              </c:numCache>
            </c:numRef>
          </c:val>
          <c:smooth val="0"/>
        </c:ser>
        <c:ser>
          <c:idx val="11"/>
          <c:order val="11"/>
          <c:tx>
            <c:strRef>
              <c:f>'Customer Detail'!$A$30</c:f>
              <c:strCache>
                <c:ptCount val="1"/>
                <c:pt idx="0">
                  <c:v>BFI,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Detail'!$B$30:$M$30</c:f>
              <c:numCache>
                <c:ptCount val="12"/>
              </c:numCache>
            </c:numRef>
          </c:val>
          <c:smooth val="0"/>
        </c:ser>
        <c:ser>
          <c:idx val="12"/>
          <c:order val="12"/>
          <c:tx>
            <c:strRef>
              <c:f>'Customer Detail'!$A$31</c:f>
              <c:strCache>
                <c:ptCount val="1"/>
                <c:pt idx="0">
                  <c:v>Northeast Waste/USA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Detail'!$B$31:$H$31</c:f>
              <c:numCache>
                <c:ptCount val="7"/>
                <c:pt idx="2">
                  <c:v>9.32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'Customer Detail'!$A$32</c:f>
              <c:strCache>
                <c:ptCount val="1"/>
                <c:pt idx="0">
                  <c:v>Johnson &amp; Johnson,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Detail'!$B$32:$H$32</c:f>
              <c:numCache>
                <c:ptCount val="7"/>
              </c:numCache>
            </c:numRef>
          </c:val>
          <c:smooth val="0"/>
        </c:ser>
        <c:ser>
          <c:idx val="14"/>
          <c:order val="14"/>
          <c:tx>
            <c:strRef>
              <c:f>'Customer Detail'!$A$20</c:f>
              <c:strCache>
                <c:ptCount val="1"/>
                <c:pt idx="0">
                  <c:v>Athens Mailing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Detail'!$B$20:$M$20</c:f>
              <c:numCache>
                <c:ptCount val="12"/>
                <c:pt idx="1">
                  <c:v>1.04</c:v>
                </c:pt>
                <c:pt idx="3">
                  <c:v>0.9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'Customer Detail'!$A$33</c:f>
              <c:strCache>
                <c:ptCount val="1"/>
                <c:pt idx="0">
                  <c:v>Bolton Enterprises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Detail'!$B$33:$M$33</c:f>
              <c:numCache>
                <c:ptCount val="12"/>
                <c:pt idx="6">
                  <c:v>0.62</c:v>
                </c:pt>
                <c:pt idx="7">
                  <c:v>0.47</c:v>
                </c:pt>
                <c:pt idx="8">
                  <c:v>0.19</c:v>
                </c:pt>
                <c:pt idx="9">
                  <c:v>0.33</c:v>
                </c:pt>
                <c:pt idx="10">
                  <c:v>0.23</c:v>
                </c:pt>
                <c:pt idx="11">
                  <c:v>0.62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'Customer Detail'!$A$35</c:f>
              <c:strCache>
                <c:ptCount val="1"/>
                <c:pt idx="0">
                  <c:v>Oconee Waste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Detail'!$B$35:$H$35</c:f>
              <c:numCache>
                <c:ptCount val="7"/>
              </c:numCache>
            </c:numRef>
          </c:val>
          <c:smooth val="0"/>
        </c:ser>
        <c:ser>
          <c:idx val="18"/>
          <c:order val="18"/>
          <c:tx>
            <c:strRef>
              <c:f>'Customer Detail'!$A$36</c:f>
              <c:strCache>
                <c:ptCount val="1"/>
                <c:pt idx="0">
                  <c:v>Hart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Detail'!$B$36:$H$36</c:f>
              <c:numCache>
                <c:ptCount val="7"/>
              </c:numCache>
            </c:numRef>
          </c:val>
          <c:smooth val="0"/>
        </c:ser>
        <c:ser>
          <c:idx val="19"/>
          <c:order val="19"/>
          <c:tx>
            <c:strRef>
              <c:f>'Customer Detail'!$A$37</c:f>
              <c:strCache>
                <c:ptCount val="1"/>
                <c:pt idx="0">
                  <c:v>Waste Recycling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Detail'!$B$37:$H$37</c:f>
              <c:numCache>
                <c:ptCount val="7"/>
                <c:pt idx="4">
                  <c:v>0.77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'Customer Detail'!$A$38</c:f>
              <c:strCache>
                <c:ptCount val="1"/>
                <c:pt idx="0">
                  <c:v>Classic City Moving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Detail'!$B$12:$H$12</c:f>
              <c:strCache>
                <c:ptCount val="7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</c:strCache>
            </c:strRef>
          </c:cat>
          <c:val>
            <c:numRef>
              <c:f>'Customer Detail'!$B$38:$H$38</c:f>
              <c:numCache>
                <c:ptCount val="7"/>
              </c:numCache>
            </c:numRef>
          </c:val>
          <c:smooth val="0"/>
        </c:ser>
        <c:ser>
          <c:idx val="21"/>
          <c:order val="21"/>
          <c:tx>
            <c:strRef>
              <c:f>'Customer Detail'!$A$43</c:f>
              <c:strCache>
                <c:ptCount val="1"/>
                <c:pt idx="0">
                  <c:v>Greenville, S.C.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Detail'!$B$12:$M$12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Detail'!$B$43:$M$43</c:f>
              <c:numCache>
                <c:ptCount val="12"/>
              </c:numCache>
            </c:numRef>
          </c:val>
          <c:smooth val="0"/>
        </c:ser>
        <c:marker val="1"/>
        <c:axId val="2523917"/>
        <c:axId val="22715254"/>
      </c:lineChart>
      <c:dateAx>
        <c:axId val="25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15254"/>
        <c:crosses val="autoZero"/>
        <c:auto val="0"/>
        <c:noMultiLvlLbl val="0"/>
      </c:dateAx>
      <c:valAx>
        <c:axId val="22715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Presorted Paper Tonnage for ACC Recycling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'Customer Detail'!$A$95</c:f>
              <c:strCache>
                <c:ptCount val="1"/>
                <c:pt idx="0">
                  <c:v>Residential Curbside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Detail'!$B$94:$M$94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Detail'!$B$95:$M$95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2.77</c:v>
                </c:pt>
                <c:pt idx="4">
                  <c:v>3.13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1.66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Detail'!$A$96</c:f>
              <c:strCache>
                <c:ptCount val="1"/>
                <c:pt idx="0">
                  <c:v>Residential Drop-Off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Detail'!$B$94:$M$94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Detail'!$B$96:$M$96</c:f>
              <c:numCache>
                <c:ptCount val="12"/>
                <c:pt idx="0">
                  <c:v>46.73</c:v>
                </c:pt>
                <c:pt idx="1">
                  <c:v>41.64</c:v>
                </c:pt>
                <c:pt idx="2">
                  <c:v>48.9</c:v>
                </c:pt>
                <c:pt idx="3">
                  <c:v>64.35</c:v>
                </c:pt>
                <c:pt idx="4">
                  <c:v>49.65</c:v>
                </c:pt>
                <c:pt idx="5">
                  <c:v>56.01</c:v>
                </c:pt>
                <c:pt idx="6">
                  <c:v>37.2</c:v>
                </c:pt>
                <c:pt idx="7">
                  <c:v>49.07</c:v>
                </c:pt>
                <c:pt idx="8">
                  <c:v>67.36</c:v>
                </c:pt>
                <c:pt idx="9">
                  <c:v>60.56</c:v>
                </c:pt>
                <c:pt idx="10">
                  <c:v>83.24</c:v>
                </c:pt>
                <c:pt idx="11">
                  <c:v>32.6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Detail'!$A$97</c:f>
              <c:strCache>
                <c:ptCount val="1"/>
                <c:pt idx="0">
                  <c:v>Commercial CBD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Detail'!$B$94:$M$94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Detail'!$B$97:$M$97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10.700000000000001</c:v>
                </c:pt>
                <c:pt idx="3">
                  <c:v>11.4</c:v>
                </c:pt>
                <c:pt idx="4">
                  <c:v>23.5</c:v>
                </c:pt>
                <c:pt idx="5">
                  <c:v>19.01</c:v>
                </c:pt>
                <c:pt idx="6">
                  <c:v>37.5</c:v>
                </c:pt>
                <c:pt idx="7">
                  <c:v>16.35</c:v>
                </c:pt>
                <c:pt idx="8">
                  <c:v>16.74</c:v>
                </c:pt>
                <c:pt idx="9">
                  <c:v>19.189999999999998</c:v>
                </c:pt>
                <c:pt idx="10">
                  <c:v>12.57</c:v>
                </c:pt>
                <c:pt idx="11">
                  <c:v>13.21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Detail'!$A$98</c:f>
              <c:strCache>
                <c:ptCount val="1"/>
                <c:pt idx="0">
                  <c:v>Commercial Dumpster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Detail'!$B$94:$M$94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Detail'!$B$98:$M$98</c:f>
              <c:numCache>
                <c:ptCount val="12"/>
                <c:pt idx="0">
                  <c:v>38.87</c:v>
                </c:pt>
                <c:pt idx="1">
                  <c:v>19.34</c:v>
                </c:pt>
                <c:pt idx="2">
                  <c:v>49.94</c:v>
                </c:pt>
                <c:pt idx="3">
                  <c:v>33.83</c:v>
                </c:pt>
                <c:pt idx="4">
                  <c:v>50.5</c:v>
                </c:pt>
                <c:pt idx="5">
                  <c:v>48.82</c:v>
                </c:pt>
                <c:pt idx="6">
                  <c:v>60.03</c:v>
                </c:pt>
                <c:pt idx="7">
                  <c:v>66.35</c:v>
                </c:pt>
                <c:pt idx="8">
                  <c:v>74.94000000000001</c:v>
                </c:pt>
                <c:pt idx="9">
                  <c:v>61.440000000000005</c:v>
                </c:pt>
                <c:pt idx="10">
                  <c:v>36.24</c:v>
                </c:pt>
                <c:pt idx="11">
                  <c:v>11.82</c:v>
                </c:pt>
              </c:numCache>
            </c:numRef>
          </c:val>
          <c:smooth val="0"/>
        </c:ser>
        <c:marker val="1"/>
        <c:axId val="3110695"/>
        <c:axId val="27996256"/>
      </c:lineChart>
      <c:dateAx>
        <c:axId val="311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6256"/>
        <c:crosses val="autoZero"/>
        <c:auto val="0"/>
        <c:noMultiLvlLbl val="0"/>
      </c:dateAx>
      <c:valAx>
        <c:axId val="27996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FY01 Presorted Paper Tonnage for Merchants ONLY</a:t>
            </a:r>
          </a:p>
        </c:rich>
      </c:tx>
      <c:layout>
        <c:manualLayout>
          <c:xMode val="factor"/>
          <c:yMode val="factor"/>
          <c:x val="-0.089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1"/>
          <c:w val="0.716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'Customer Detail'!$A$102</c:f>
              <c:strCache>
                <c:ptCount val="1"/>
                <c:pt idx="0">
                  <c:v>United/Robertson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Detail'!$B$102:$M$102</c:f>
              <c:numCache>
                <c:ptCount val="12"/>
                <c:pt idx="0">
                  <c:v>96.11</c:v>
                </c:pt>
                <c:pt idx="1">
                  <c:v>108.68</c:v>
                </c:pt>
                <c:pt idx="2">
                  <c:v>98.07</c:v>
                </c:pt>
                <c:pt idx="3">
                  <c:v>91.63</c:v>
                </c:pt>
                <c:pt idx="4">
                  <c:v>102.61</c:v>
                </c:pt>
                <c:pt idx="5">
                  <c:v>85.11</c:v>
                </c:pt>
                <c:pt idx="6">
                  <c:v>97.21</c:v>
                </c:pt>
                <c:pt idx="7">
                  <c:v>91.24000000000001</c:v>
                </c:pt>
                <c:pt idx="8">
                  <c:v>107.58</c:v>
                </c:pt>
                <c:pt idx="9">
                  <c:v>92.28</c:v>
                </c:pt>
                <c:pt idx="10">
                  <c:v>122.52</c:v>
                </c:pt>
                <c:pt idx="11">
                  <c:v>113.02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'Customer Detail'!$A$106</c:f>
              <c:strCache>
                <c:ptCount val="1"/>
                <c:pt idx="0">
                  <c:v>Oconee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Detail'!$B$106:$M$106</c:f>
              <c:numCache>
                <c:ptCount val="12"/>
                <c:pt idx="0">
                  <c:v>15.19</c:v>
                </c:pt>
                <c:pt idx="1">
                  <c:v>17.71</c:v>
                </c:pt>
                <c:pt idx="2">
                  <c:v>23.21</c:v>
                </c:pt>
                <c:pt idx="3">
                  <c:v>48.14</c:v>
                </c:pt>
                <c:pt idx="4">
                  <c:v>28.6</c:v>
                </c:pt>
                <c:pt idx="5">
                  <c:v>29.21</c:v>
                </c:pt>
                <c:pt idx="6">
                  <c:v>22.75</c:v>
                </c:pt>
                <c:pt idx="7">
                  <c:v>17.59</c:v>
                </c:pt>
                <c:pt idx="9">
                  <c:v>15.88</c:v>
                </c:pt>
                <c:pt idx="10">
                  <c:v>24.69</c:v>
                </c:pt>
                <c:pt idx="11">
                  <c:v>24.81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'Customer Detail'!$A$111</c:f>
              <c:strCache>
                <c:ptCount val="1"/>
                <c:pt idx="0">
                  <c:v>Johnson &amp; Sons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Detail'!$B$111:$M$111</c:f>
              <c:numCache>
                <c:ptCount val="12"/>
                <c:pt idx="0">
                  <c:v>1.06</c:v>
                </c:pt>
                <c:pt idx="1">
                  <c:v>2.82</c:v>
                </c:pt>
                <c:pt idx="2">
                  <c:v>3.5300000000000002</c:v>
                </c:pt>
                <c:pt idx="3">
                  <c:v>0.56</c:v>
                </c:pt>
                <c:pt idx="4">
                  <c:v>0.67</c:v>
                </c:pt>
                <c:pt idx="5">
                  <c:v>0.24</c:v>
                </c:pt>
                <c:pt idx="6">
                  <c:v>0.31</c:v>
                </c:pt>
                <c:pt idx="7">
                  <c:v>0.64</c:v>
                </c:pt>
                <c:pt idx="8">
                  <c:v>0.56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'Customer Detail'!$A$112</c:f>
              <c:strCache>
                <c:ptCount val="1"/>
                <c:pt idx="0">
                  <c:v>City of Comer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Detail'!$B$112:$M$112</c:f>
              <c:numCache>
                <c:ptCount val="12"/>
                <c:pt idx="0">
                  <c:v>1.16</c:v>
                </c:pt>
                <c:pt idx="1">
                  <c:v>1.26</c:v>
                </c:pt>
                <c:pt idx="2">
                  <c:v>1.33</c:v>
                </c:pt>
                <c:pt idx="3">
                  <c:v>1.33</c:v>
                </c:pt>
                <c:pt idx="4">
                  <c:v>1.39</c:v>
                </c:pt>
                <c:pt idx="5">
                  <c:v>2.28</c:v>
                </c:pt>
                <c:pt idx="6">
                  <c:v>1.59</c:v>
                </c:pt>
                <c:pt idx="7">
                  <c:v>1.18</c:v>
                </c:pt>
                <c:pt idx="8">
                  <c:v>1.38</c:v>
                </c:pt>
                <c:pt idx="9">
                  <c:v>1.15</c:v>
                </c:pt>
                <c:pt idx="10">
                  <c:v>1.69</c:v>
                </c:pt>
                <c:pt idx="11">
                  <c:v>2.25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'Customer Detail'!$A$122</c:f>
              <c:strCache>
                <c:ptCount val="1"/>
                <c:pt idx="0">
                  <c:v>Ga Waste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Detail'!$B$122:$M$122</c:f>
              <c:numCache>
                <c:ptCount val="12"/>
                <c:pt idx="0">
                  <c:v>0.75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'Customer Detail'!$A$123</c:f>
              <c:strCache>
                <c:ptCount val="1"/>
                <c:pt idx="0">
                  <c:v>F4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Detail'!$B$123:$M$123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'Customer Detail'!$A$121</c:f>
              <c:strCache>
                <c:ptCount val="1"/>
                <c:pt idx="0">
                  <c:v>Oglethorpe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Detail'!$B$121:$M$121</c:f>
              <c:numCache>
                <c:ptCount val="12"/>
                <c:pt idx="0">
                  <c:v>3.63</c:v>
                </c:pt>
                <c:pt idx="1">
                  <c:v>4.13</c:v>
                </c:pt>
                <c:pt idx="2">
                  <c:v>1.63</c:v>
                </c:pt>
                <c:pt idx="3">
                  <c:v>5.53</c:v>
                </c:pt>
                <c:pt idx="4">
                  <c:v>1.69</c:v>
                </c:pt>
                <c:pt idx="5">
                  <c:v>2.15</c:v>
                </c:pt>
                <c:pt idx="6">
                  <c:v>3.24</c:v>
                </c:pt>
                <c:pt idx="7">
                  <c:v>1.92</c:v>
                </c:pt>
                <c:pt idx="8">
                  <c:v>5.02</c:v>
                </c:pt>
                <c:pt idx="9">
                  <c:v>3.92</c:v>
                </c:pt>
                <c:pt idx="10">
                  <c:v>1.66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'Customer Detail'!$A$124</c:f>
              <c:strCache>
                <c:ptCount val="1"/>
                <c:pt idx="0">
                  <c:v>Prospect Recycling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Detail'!$B$124:$M$124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'Customer Detail'!$A$125</c:f>
              <c:strCache>
                <c:ptCount val="1"/>
                <c:pt idx="0">
                  <c:v>Walton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Detail'!$B$125:$M$125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'Customer Detail'!$A$126</c:f>
              <c:strCache>
                <c:ptCount val="1"/>
                <c:pt idx="0">
                  <c:v>Madison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Detail'!$B$126:$M$126</c:f>
              <c:numCache>
                <c:ptCount val="12"/>
              </c:numCache>
            </c:numRef>
          </c:val>
          <c:smooth val="0"/>
        </c:ser>
        <c:ser>
          <c:idx val="11"/>
          <c:order val="11"/>
          <c:tx>
            <c:strRef>
              <c:f>'Customer Detail'!$A$118</c:f>
              <c:strCache>
                <c:ptCount val="1"/>
                <c:pt idx="0">
                  <c:v>BFI,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Detail'!$B$118:$M$118</c:f>
              <c:numCache>
                <c:ptCount val="12"/>
                <c:pt idx="0">
                  <c:v>10.89</c:v>
                </c:pt>
                <c:pt idx="1">
                  <c:v>32.11</c:v>
                </c:pt>
                <c:pt idx="2">
                  <c:v>31.66</c:v>
                </c:pt>
                <c:pt idx="3">
                  <c:v>30.05</c:v>
                </c:pt>
                <c:pt idx="4">
                  <c:v>50.53</c:v>
                </c:pt>
                <c:pt idx="5">
                  <c:v>47.64</c:v>
                </c:pt>
                <c:pt idx="6">
                  <c:v>37.29</c:v>
                </c:pt>
                <c:pt idx="7">
                  <c:v>39.730000000000004</c:v>
                </c:pt>
                <c:pt idx="8">
                  <c:v>40.1</c:v>
                </c:pt>
                <c:pt idx="9">
                  <c:v>44.16</c:v>
                </c:pt>
                <c:pt idx="10">
                  <c:v>64.69</c:v>
                </c:pt>
                <c:pt idx="11">
                  <c:v>91.14999999999999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'Customer Detail'!$A$119</c:f>
              <c:strCache>
                <c:ptCount val="1"/>
                <c:pt idx="0">
                  <c:v>Northeast Waste/USA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Detail'!$B$119:$M$119</c:f>
              <c:numCache>
                <c:ptCount val="12"/>
                <c:pt idx="0">
                  <c:v>18.5</c:v>
                </c:pt>
                <c:pt idx="1">
                  <c:v>18.86</c:v>
                </c:pt>
                <c:pt idx="2">
                  <c:v>10.49</c:v>
                </c:pt>
                <c:pt idx="3">
                  <c:v>11.95</c:v>
                </c:pt>
                <c:pt idx="4">
                  <c:v>5.24</c:v>
                </c:pt>
                <c:pt idx="5">
                  <c:v>11.13</c:v>
                </c:pt>
                <c:pt idx="6">
                  <c:v>26.990000000000002</c:v>
                </c:pt>
                <c:pt idx="7">
                  <c:v>25.990000000000002</c:v>
                </c:pt>
                <c:pt idx="11">
                  <c:v>8.84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'Customer Detail'!$A$114</c:f>
              <c:strCache>
                <c:ptCount val="1"/>
                <c:pt idx="0">
                  <c:v>Johnson &amp; Johnson, Inc.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Detail'!$B$114:$M$114</c:f>
              <c:numCache>
                <c:ptCount val="12"/>
                <c:pt idx="0">
                  <c:v>34.98</c:v>
                </c:pt>
                <c:pt idx="1">
                  <c:v>43.14</c:v>
                </c:pt>
                <c:pt idx="2">
                  <c:v>44.36</c:v>
                </c:pt>
                <c:pt idx="3">
                  <c:v>16.38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'Customer Detail'!$A$113</c:f>
              <c:strCache>
                <c:ptCount val="1"/>
                <c:pt idx="0">
                  <c:v>Athens Mailing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Detail'!$B$113:$M$113</c:f>
              <c:numCache>
                <c:ptCount val="12"/>
                <c:pt idx="0">
                  <c:v>0.29</c:v>
                </c:pt>
                <c:pt idx="1">
                  <c:v>0.64</c:v>
                </c:pt>
                <c:pt idx="2">
                  <c:v>0.37</c:v>
                </c:pt>
                <c:pt idx="3">
                  <c:v>1.79</c:v>
                </c:pt>
                <c:pt idx="4">
                  <c:v>0.43</c:v>
                </c:pt>
                <c:pt idx="5">
                  <c:v>0.61</c:v>
                </c:pt>
                <c:pt idx="8">
                  <c:v>0.76</c:v>
                </c:pt>
                <c:pt idx="9">
                  <c:v>1.27</c:v>
                </c:pt>
                <c:pt idx="10">
                  <c:v>0.58</c:v>
                </c:pt>
                <c:pt idx="11">
                  <c:v>1.59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'Customer Detail'!$A$116</c:f>
              <c:strCache>
                <c:ptCount val="1"/>
                <c:pt idx="0">
                  <c:v>Oconee Waste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Detail'!$B$116:$M$116</c:f>
              <c:numCache>
                <c:ptCount val="12"/>
                <c:pt idx="0">
                  <c:v>1.83</c:v>
                </c:pt>
                <c:pt idx="1">
                  <c:v>3.6500000000000004</c:v>
                </c:pt>
                <c:pt idx="2">
                  <c:v>2.69</c:v>
                </c:pt>
                <c:pt idx="3">
                  <c:v>1.38</c:v>
                </c:pt>
                <c:pt idx="4">
                  <c:v>2.12</c:v>
                </c:pt>
                <c:pt idx="5">
                  <c:v>10.489999999999998</c:v>
                </c:pt>
                <c:pt idx="6">
                  <c:v>4.05</c:v>
                </c:pt>
                <c:pt idx="7">
                  <c:v>4.11</c:v>
                </c:pt>
                <c:pt idx="8">
                  <c:v>2.75</c:v>
                </c:pt>
                <c:pt idx="9">
                  <c:v>4.7</c:v>
                </c:pt>
                <c:pt idx="10">
                  <c:v>3.29</c:v>
                </c:pt>
                <c:pt idx="11">
                  <c:v>4.57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'Customer Detail'!$A$128</c:f>
              <c:strCache>
                <c:ptCount val="1"/>
                <c:pt idx="0">
                  <c:v>Hart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Detail'!$B$128:$M$128</c:f>
              <c:numCache>
                <c:ptCount val="12"/>
              </c:numCache>
            </c:numRef>
          </c:val>
          <c:smooth val="0"/>
        </c:ser>
        <c:ser>
          <c:idx val="19"/>
          <c:order val="19"/>
          <c:tx>
            <c:strRef>
              <c:f>'Customer Detail'!$A$129</c:f>
              <c:strCache>
                <c:ptCount val="1"/>
                <c:pt idx="0">
                  <c:v>Waste Recycling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Detail'!$B$129:$M$129</c:f>
              <c:numCache>
                <c:ptCount val="12"/>
                <c:pt idx="1">
                  <c:v>1.81</c:v>
                </c:pt>
                <c:pt idx="5">
                  <c:v>3.49</c:v>
                </c:pt>
                <c:pt idx="9">
                  <c:v>3.11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'Customer Detail'!$A$110</c:f>
              <c:strCache>
                <c:ptCount val="1"/>
                <c:pt idx="0">
                  <c:v>Classic City Moving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Detail'!$B$110:$M$110</c:f>
              <c:numCache>
                <c:ptCount val="12"/>
                <c:pt idx="0">
                  <c:v>0.54</c:v>
                </c:pt>
                <c:pt idx="1">
                  <c:v>0.98</c:v>
                </c:pt>
                <c:pt idx="2">
                  <c:v>0.49</c:v>
                </c:pt>
                <c:pt idx="3">
                  <c:v>0.81</c:v>
                </c:pt>
                <c:pt idx="4">
                  <c:v>0.15</c:v>
                </c:pt>
                <c:pt idx="5">
                  <c:v>0.84</c:v>
                </c:pt>
                <c:pt idx="6">
                  <c:v>0.65</c:v>
                </c:pt>
                <c:pt idx="7">
                  <c:v>0.64</c:v>
                </c:pt>
                <c:pt idx="8">
                  <c:v>0.71</c:v>
                </c:pt>
                <c:pt idx="9">
                  <c:v>1.13</c:v>
                </c:pt>
                <c:pt idx="10">
                  <c:v>0.98</c:v>
                </c:pt>
                <c:pt idx="11">
                  <c:v>1.29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'Customer Detail'!$A$115</c:f>
              <c:strCache>
                <c:ptCount val="1"/>
                <c:pt idx="0">
                  <c:v>McLane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Detail'!$B$115:$M$115</c:f>
              <c:numCache>
                <c:ptCount val="12"/>
                <c:pt idx="0">
                  <c:v>31.12</c:v>
                </c:pt>
                <c:pt idx="1">
                  <c:v>39.55</c:v>
                </c:pt>
                <c:pt idx="2">
                  <c:v>27.93</c:v>
                </c:pt>
                <c:pt idx="3">
                  <c:v>36.17</c:v>
                </c:pt>
                <c:pt idx="4">
                  <c:v>34.489999999999995</c:v>
                </c:pt>
                <c:pt idx="5">
                  <c:v>37.81</c:v>
                </c:pt>
                <c:pt idx="6">
                  <c:v>37.76</c:v>
                </c:pt>
                <c:pt idx="7">
                  <c:v>36.05</c:v>
                </c:pt>
                <c:pt idx="8">
                  <c:v>48.88</c:v>
                </c:pt>
                <c:pt idx="9">
                  <c:v>44.96</c:v>
                </c:pt>
                <c:pt idx="10">
                  <c:v>46.97</c:v>
                </c:pt>
                <c:pt idx="11">
                  <c:v>49.44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'Customer Detail'!$A$103</c:f>
              <c:strCache>
                <c:ptCount val="1"/>
                <c:pt idx="0">
                  <c:v>USDA Forest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Detail'!$B$103:$M$103</c:f>
              <c:numCache>
                <c:ptCount val="12"/>
                <c:pt idx="0">
                  <c:v>0.28</c:v>
                </c:pt>
                <c:pt idx="1">
                  <c:v>0.39</c:v>
                </c:pt>
                <c:pt idx="2">
                  <c:v>0.13</c:v>
                </c:pt>
                <c:pt idx="3">
                  <c:v>0.42</c:v>
                </c:pt>
                <c:pt idx="5">
                  <c:v>0.16</c:v>
                </c:pt>
                <c:pt idx="6">
                  <c:v>0.33</c:v>
                </c:pt>
                <c:pt idx="7">
                  <c:v>0.18</c:v>
                </c:pt>
                <c:pt idx="8">
                  <c:v>1.13</c:v>
                </c:pt>
                <c:pt idx="9">
                  <c:v>0.14</c:v>
                </c:pt>
                <c:pt idx="10">
                  <c:v>0.43</c:v>
                </c:pt>
                <c:pt idx="11">
                  <c:v>0.13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'Customer Detail'!#REF!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'Customer Detail'!$A$130</c:f>
              <c:strCache>
                <c:ptCount val="1"/>
                <c:pt idx="0">
                  <c:v>Bolton Enterprises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Detail'!$B$130:$M$130</c:f>
              <c:numCache>
                <c:ptCount val="12"/>
                <c:pt idx="0">
                  <c:v>1.05</c:v>
                </c:pt>
                <c:pt idx="1">
                  <c:v>5.01</c:v>
                </c:pt>
                <c:pt idx="2">
                  <c:v>6.44</c:v>
                </c:pt>
                <c:pt idx="3">
                  <c:v>3.9</c:v>
                </c:pt>
                <c:pt idx="4">
                  <c:v>13.49</c:v>
                </c:pt>
                <c:pt idx="5">
                  <c:v>2.26</c:v>
                </c:pt>
                <c:pt idx="6">
                  <c:v>1.94</c:v>
                </c:pt>
                <c:pt idx="7">
                  <c:v>3.23</c:v>
                </c:pt>
                <c:pt idx="8">
                  <c:v>5.08</c:v>
                </c:pt>
                <c:pt idx="9">
                  <c:v>7.29</c:v>
                </c:pt>
                <c:pt idx="10">
                  <c:v>3.16</c:v>
                </c:pt>
                <c:pt idx="11">
                  <c:v>4.15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'Customer Detail'!$A$131</c:f>
              <c:strCache>
                <c:ptCount val="1"/>
                <c:pt idx="0">
                  <c:v>Ponderosa, Ga. Corp.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Detail'!$B$131:$M$131</c:f>
              <c:numCache>
                <c:ptCount val="12"/>
              </c:numCache>
            </c:numRef>
          </c:val>
          <c:smooth val="0"/>
        </c:ser>
        <c:ser>
          <c:idx val="28"/>
          <c:order val="28"/>
          <c:tx>
            <c:strRef>
              <c:f>'Customer Detail'!$A$117</c:f>
              <c:strCache>
                <c:ptCount val="1"/>
                <c:pt idx="0">
                  <c:v>Vend Corporation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Detail'!$B$117:$M$117</c:f>
              <c:numCache>
                <c:ptCount val="12"/>
                <c:pt idx="5">
                  <c:v>2.68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'Customer Detail'!$A$136</c:f>
              <c:strCache>
                <c:ptCount val="1"/>
                <c:pt idx="0">
                  <c:v>Miscellaneous/Unnamed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Detail'!$B$136:$M$136</c:f>
              <c:numCache>
                <c:ptCount val="12"/>
                <c:pt idx="0">
                  <c:v>3.58</c:v>
                </c:pt>
                <c:pt idx="1">
                  <c:v>2.43</c:v>
                </c:pt>
                <c:pt idx="2">
                  <c:v>1.7200000000000002</c:v>
                </c:pt>
                <c:pt idx="3">
                  <c:v>5.000000000000001</c:v>
                </c:pt>
                <c:pt idx="4">
                  <c:v>3.54</c:v>
                </c:pt>
                <c:pt idx="5">
                  <c:v>3.25</c:v>
                </c:pt>
                <c:pt idx="6">
                  <c:v>4.34</c:v>
                </c:pt>
                <c:pt idx="7">
                  <c:v>2.44</c:v>
                </c:pt>
                <c:pt idx="8">
                  <c:v>1.77</c:v>
                </c:pt>
                <c:pt idx="9">
                  <c:v>2.62</c:v>
                </c:pt>
                <c:pt idx="10">
                  <c:v>1.26</c:v>
                </c:pt>
                <c:pt idx="11">
                  <c:v>6.8100000000000005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'Customer Detail'!$A$137</c:f>
              <c:strCache>
                <c:ptCount val="1"/>
                <c:pt idx="0">
                  <c:v>Greenville, S.C.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Detail'!$B$101:$M$101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'Customer Detail'!$B$137:$M$137</c:f>
              <c:numCache>
                <c:ptCount val="12"/>
              </c:numCache>
            </c:numRef>
          </c:val>
          <c:smooth val="0"/>
        </c:ser>
        <c:marker val="1"/>
        <c:axId val="50639713"/>
        <c:axId val="53104234"/>
      </c:lineChart>
      <c:dateAx>
        <c:axId val="5063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04234"/>
        <c:crosses val="autoZero"/>
        <c:auto val="0"/>
        <c:noMultiLvlLbl val="0"/>
      </c:dateAx>
      <c:valAx>
        <c:axId val="5310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Athens-Clarke County
Commercial Curbside Recycling Tonnage Detail
FY01 (July 1, 2000 - June 30, 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3"/>
          <c:w val="0.9505"/>
          <c:h val="0.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'CBD Info'!$A$7</c:f>
              <c:strCache>
                <c:ptCount val="1"/>
                <c:pt idx="0">
                  <c:v>Commingled 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Info'!$B$7:$M$7</c:f>
              <c:numCache>
                <c:ptCount val="12"/>
                <c:pt idx="0">
                  <c:v>18.45</c:v>
                </c:pt>
                <c:pt idx="1">
                  <c:v>12.87</c:v>
                </c:pt>
                <c:pt idx="2">
                  <c:v>6.09</c:v>
                </c:pt>
                <c:pt idx="3">
                  <c:v>9.98</c:v>
                </c:pt>
                <c:pt idx="4">
                  <c:v>7.48</c:v>
                </c:pt>
                <c:pt idx="5">
                  <c:v>3.28</c:v>
                </c:pt>
                <c:pt idx="6">
                  <c:v>3</c:v>
                </c:pt>
                <c:pt idx="7">
                  <c:v>2.04</c:v>
                </c:pt>
                <c:pt idx="8">
                  <c:v>1.18</c:v>
                </c:pt>
                <c:pt idx="9">
                  <c:v>0.98</c:v>
                </c:pt>
                <c:pt idx="10">
                  <c:v>3.66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'CBD Info'!$A$8</c:f>
              <c:strCache>
                <c:ptCount val="1"/>
                <c:pt idx="0">
                  <c:v>Commingled B&amp;C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Info'!$B$8:$M$8</c:f>
              <c:numCache>
                <c:ptCount val="12"/>
                <c:pt idx="0">
                  <c:v>21.57</c:v>
                </c:pt>
                <c:pt idx="1">
                  <c:v>8.72</c:v>
                </c:pt>
                <c:pt idx="2">
                  <c:v>7.54</c:v>
                </c:pt>
                <c:pt idx="3">
                  <c:v>16.53</c:v>
                </c:pt>
                <c:pt idx="4">
                  <c:v>17.42</c:v>
                </c:pt>
                <c:pt idx="5">
                  <c:v>25.23</c:v>
                </c:pt>
                <c:pt idx="6">
                  <c:v>20.75</c:v>
                </c:pt>
                <c:pt idx="7">
                  <c:v>20</c:v>
                </c:pt>
                <c:pt idx="8">
                  <c:v>16.7</c:v>
                </c:pt>
                <c:pt idx="9">
                  <c:v>19</c:v>
                </c:pt>
                <c:pt idx="10">
                  <c:v>12.6</c:v>
                </c:pt>
                <c:pt idx="11">
                  <c:v>5.16</c:v>
                </c:pt>
              </c:numCache>
            </c:numRef>
          </c:val>
        </c:ser>
        <c:ser>
          <c:idx val="2"/>
          <c:order val="2"/>
          <c:tx>
            <c:strRef>
              <c:f>'CBD Info'!$A$9</c:f>
              <c:strCache>
                <c:ptCount val="1"/>
                <c:pt idx="0">
                  <c:v>Presorted Paper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'CBD Info'!$B$6:$M$6</c:f>
              <c:strCache>
                <c:ptCount val="12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</c:strCache>
            </c:strRef>
          </c:cat>
          <c:val>
            <c:numRef>
              <c:f>'CBD Info'!$B$9:$M$9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10.7</c:v>
                </c:pt>
                <c:pt idx="3">
                  <c:v>11.4</c:v>
                </c:pt>
                <c:pt idx="4">
                  <c:v>23.5</c:v>
                </c:pt>
                <c:pt idx="5">
                  <c:v>19.01</c:v>
                </c:pt>
                <c:pt idx="6">
                  <c:v>37.5</c:v>
                </c:pt>
                <c:pt idx="7">
                  <c:v>16.35</c:v>
                </c:pt>
                <c:pt idx="8">
                  <c:v>16.74</c:v>
                </c:pt>
                <c:pt idx="9">
                  <c:v>18.45</c:v>
                </c:pt>
                <c:pt idx="10">
                  <c:v>12.57</c:v>
                </c:pt>
                <c:pt idx="11">
                  <c:v>13.21</c:v>
                </c:pt>
              </c:numCache>
            </c:numRef>
          </c:val>
        </c:ser>
        <c:overlap val="100"/>
        <c:axId val="8176059"/>
        <c:axId val="6475668"/>
      </c:barChart>
      <c:date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auto val="0"/>
        <c:noMultiLvlLbl val="0"/>
      </c:date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425"/>
          <c:w val="0.843"/>
          <c:h val="0.0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5" top="0.5" bottom="0.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5" top="0.5" bottom="0.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14</xdr:col>
      <xdr:colOff>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0" y="3390900"/>
        <a:ext cx="8410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25</xdr:row>
      <xdr:rowOff>28575</xdr:rowOff>
    </xdr:from>
    <xdr:to>
      <xdr:col>13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828675" y="4705350"/>
        <a:ext cx="7734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17</xdr:col>
      <xdr:colOff>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9525" y="2924175"/>
        <a:ext cx="10829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17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9525" y="4667250"/>
        <a:ext cx="10677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83</xdr:row>
      <xdr:rowOff>38100</xdr:rowOff>
    </xdr:from>
    <xdr:to>
      <xdr:col>15</xdr:col>
      <xdr:colOff>19050</xdr:colOff>
      <xdr:row>119</xdr:row>
      <xdr:rowOff>57150</xdr:rowOff>
    </xdr:to>
    <xdr:graphicFrame>
      <xdr:nvGraphicFramePr>
        <xdr:cNvPr id="2" name="Chart 2"/>
        <xdr:cNvGraphicFramePr/>
      </xdr:nvGraphicFramePr>
      <xdr:xfrm>
        <a:off x="47625" y="14097000"/>
        <a:ext cx="947737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51</xdr:row>
      <xdr:rowOff>9525</xdr:rowOff>
    </xdr:from>
    <xdr:to>
      <xdr:col>18</xdr:col>
      <xdr:colOff>0</xdr:colOff>
      <xdr:row>80</xdr:row>
      <xdr:rowOff>152400</xdr:rowOff>
    </xdr:to>
    <xdr:graphicFrame>
      <xdr:nvGraphicFramePr>
        <xdr:cNvPr id="3" name="Chart 3"/>
        <xdr:cNvGraphicFramePr/>
      </xdr:nvGraphicFramePr>
      <xdr:xfrm>
        <a:off x="47625" y="8886825"/>
        <a:ext cx="112299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4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2" width="15.7109375" style="0" customWidth="1"/>
    <col min="3" max="3" width="28.140625" style="0" customWidth="1"/>
    <col min="4" max="4" width="16.7109375" style="0" customWidth="1"/>
    <col min="5" max="5" width="22.7109375" style="0" customWidth="1"/>
    <col min="6" max="6" width="20.7109375" style="0" customWidth="1"/>
    <col min="7" max="7" width="22.7109375" style="0" customWidth="1"/>
    <col min="8" max="8" width="15.7109375" style="0" customWidth="1"/>
    <col min="9" max="16384" width="8.8515625" style="0" customWidth="1"/>
  </cols>
  <sheetData>
    <row r="1" ht="15.75">
      <c r="A1" s="30" t="s">
        <v>14</v>
      </c>
    </row>
    <row r="3" ht="15.75">
      <c r="A3" s="30" t="s">
        <v>80</v>
      </c>
    </row>
    <row r="4" ht="15.75">
      <c r="A4" s="30" t="s">
        <v>15</v>
      </c>
    </row>
    <row r="5" spans="1:7" ht="15.75">
      <c r="A5" s="9"/>
      <c r="B5" s="9"/>
      <c r="C5" s="16" t="s">
        <v>81</v>
      </c>
      <c r="D5" s="16"/>
      <c r="E5" s="16"/>
      <c r="F5" s="16" t="s">
        <v>73</v>
      </c>
      <c r="G5" s="16"/>
    </row>
    <row r="6" spans="1:7" ht="15.75">
      <c r="A6" s="17"/>
      <c r="B6" s="17"/>
      <c r="C6" s="17"/>
      <c r="D6" s="17"/>
      <c r="E6" s="17"/>
      <c r="F6" s="17"/>
      <c r="G6" s="17"/>
    </row>
    <row r="7" spans="1:7" ht="15.75">
      <c r="A7" s="18" t="s">
        <v>82</v>
      </c>
      <c r="B7" s="57"/>
      <c r="D7" s="18" t="s">
        <v>74</v>
      </c>
      <c r="E7" s="18" t="s">
        <v>75</v>
      </c>
      <c r="F7" s="18" t="s">
        <v>76</v>
      </c>
      <c r="G7" s="18"/>
    </row>
    <row r="8" spans="1:7" ht="15.75">
      <c r="A8" s="18"/>
      <c r="B8" s="18" t="s">
        <v>83</v>
      </c>
      <c r="C8" s="18" t="s">
        <v>84</v>
      </c>
      <c r="D8" s="18" t="s">
        <v>77</v>
      </c>
      <c r="E8" s="18" t="s">
        <v>77</v>
      </c>
      <c r="F8" s="18" t="s">
        <v>78</v>
      </c>
      <c r="G8" s="18" t="s">
        <v>79</v>
      </c>
    </row>
    <row r="9" spans="1:7" ht="15.75">
      <c r="A9" s="19"/>
      <c r="B9" s="18" t="s">
        <v>77</v>
      </c>
      <c r="C9" s="18" t="s">
        <v>77</v>
      </c>
      <c r="D9" s="19"/>
      <c r="E9" s="19"/>
      <c r="F9" s="19" t="s">
        <v>77</v>
      </c>
      <c r="G9" s="19" t="s">
        <v>77</v>
      </c>
    </row>
    <row r="10" spans="1:7" ht="12.75">
      <c r="A10" s="33">
        <v>36708</v>
      </c>
      <c r="B10" s="20">
        <v>210.84</v>
      </c>
      <c r="C10" s="20">
        <f>364.01+401.58</f>
        <v>765.5899999999999</v>
      </c>
      <c r="D10" s="20">
        <f>SUM(B10:C10)</f>
        <v>976.43</v>
      </c>
      <c r="E10" s="54">
        <v>47406.69</v>
      </c>
      <c r="F10" s="63">
        <v>53634.09</v>
      </c>
      <c r="G10" s="21">
        <f>SUM(E10-F10)</f>
        <v>-6227.399999999994</v>
      </c>
    </row>
    <row r="11" spans="1:7" ht="12">
      <c r="A11" s="22"/>
      <c r="B11" s="22"/>
      <c r="C11" s="22"/>
      <c r="D11" s="22"/>
      <c r="E11" s="23"/>
      <c r="F11" s="23"/>
      <c r="G11" s="23"/>
    </row>
    <row r="12" spans="1:7" ht="12">
      <c r="A12" s="33">
        <v>36739</v>
      </c>
      <c r="B12" s="20">
        <f>128.62+86.29</f>
        <v>214.91000000000003</v>
      </c>
      <c r="C12" s="20">
        <f>309.32+64.99+182.7+332.95+21.68</f>
        <v>911.64</v>
      </c>
      <c r="D12" s="20">
        <f>SUM(C12+B12)</f>
        <v>1126.55</v>
      </c>
      <c r="E12" s="21">
        <v>55545.91</v>
      </c>
      <c r="F12" s="21">
        <v>52223.35</v>
      </c>
      <c r="G12" s="21">
        <f>SUM(E12-F12)</f>
        <v>3322.560000000005</v>
      </c>
    </row>
    <row r="13" spans="1:7" ht="12">
      <c r="A13" s="24"/>
      <c r="B13" s="24"/>
      <c r="C13" s="24"/>
      <c r="D13" s="24"/>
      <c r="E13" s="25"/>
      <c r="F13" s="25"/>
      <c r="G13" s="25"/>
    </row>
    <row r="14" spans="1:7" ht="12">
      <c r="A14" s="34">
        <v>36770</v>
      </c>
      <c r="B14" s="22">
        <v>195.22</v>
      </c>
      <c r="C14" s="22">
        <f>412.89+1.03+433.48+47.55</f>
        <v>894.9499999999999</v>
      </c>
      <c r="D14" s="22">
        <f>SUM(C14+B14)</f>
        <v>1090.1699999999998</v>
      </c>
      <c r="E14" s="23">
        <v>51663.1</v>
      </c>
      <c r="F14" s="23">
        <v>39818.1</v>
      </c>
      <c r="G14" s="23">
        <f>SUM(E14-F14)</f>
        <v>11845</v>
      </c>
    </row>
    <row r="15" spans="1:7" ht="12">
      <c r="A15" s="22"/>
      <c r="B15" s="22"/>
      <c r="C15" s="22"/>
      <c r="D15" s="22"/>
      <c r="E15" s="23"/>
      <c r="F15" s="23"/>
      <c r="G15" s="23"/>
    </row>
    <row r="16" spans="1:7" ht="12">
      <c r="A16" s="33">
        <v>36800</v>
      </c>
      <c r="B16" s="20">
        <v>206.59</v>
      </c>
      <c r="C16" s="20">
        <f>419.16+54.01+396.29+48.82</f>
        <v>918.2800000000001</v>
      </c>
      <c r="D16" s="20">
        <f>SUM(B16:C16)</f>
        <v>1124.8700000000001</v>
      </c>
      <c r="E16" s="21">
        <v>53515.19</v>
      </c>
      <c r="F16" s="21">
        <v>43582.89</v>
      </c>
      <c r="G16" s="21">
        <f>SUM(E16-F16)</f>
        <v>9932.300000000003</v>
      </c>
    </row>
    <row r="17" spans="1:7" ht="12">
      <c r="A17" s="24"/>
      <c r="B17" s="24"/>
      <c r="C17" s="24"/>
      <c r="D17" s="24"/>
      <c r="E17" s="25"/>
      <c r="F17" s="25"/>
      <c r="G17" s="25"/>
    </row>
    <row r="18" spans="1:7" ht="12">
      <c r="A18" s="34">
        <v>36831</v>
      </c>
      <c r="B18" s="22">
        <v>180.81</v>
      </c>
      <c r="C18" s="22">
        <f>447.47+501.11+46.85</f>
        <v>995.4300000000001</v>
      </c>
      <c r="D18" s="22">
        <f>SUM(B18:C18)</f>
        <v>1176.24</v>
      </c>
      <c r="E18" s="23">
        <v>54477.44</v>
      </c>
      <c r="F18" s="23">
        <v>36982.38</v>
      </c>
      <c r="G18" s="23">
        <f>SUM(E18-F18)</f>
        <v>17495.060000000005</v>
      </c>
    </row>
    <row r="19" spans="1:7" ht="15.75">
      <c r="A19" s="22"/>
      <c r="B19" s="22"/>
      <c r="C19" s="22"/>
      <c r="D19" s="22"/>
      <c r="E19" s="23"/>
      <c r="F19" s="23"/>
      <c r="G19" s="26"/>
    </row>
    <row r="20" spans="1:7" ht="12">
      <c r="A20" s="33">
        <v>36861</v>
      </c>
      <c r="B20" s="20">
        <v>169.66</v>
      </c>
      <c r="C20" s="20">
        <f>365.31+454.2+33.18</f>
        <v>852.6899999999999</v>
      </c>
      <c r="D20" s="20">
        <f>SUM(B20:C20)</f>
        <v>1022.3499999999999</v>
      </c>
      <c r="E20" s="21">
        <v>48062.21</v>
      </c>
      <c r="F20" s="21">
        <v>42789.37</v>
      </c>
      <c r="G20" s="21">
        <f>SUM(E20-F20)</f>
        <v>5272.8399999999965</v>
      </c>
    </row>
    <row r="21" spans="1:7" ht="12">
      <c r="A21" s="24"/>
      <c r="B21" s="24"/>
      <c r="C21" s="24"/>
      <c r="D21" s="24"/>
      <c r="E21" s="25"/>
      <c r="F21" s="25"/>
      <c r="G21" s="25"/>
    </row>
    <row r="22" spans="1:7" ht="12">
      <c r="A22" s="34">
        <v>36892</v>
      </c>
      <c r="B22" s="22">
        <v>215.3</v>
      </c>
      <c r="C22" s="22">
        <v>891.79</v>
      </c>
      <c r="D22" s="22">
        <f>SUM(B22:C22)</f>
        <v>1107.09</v>
      </c>
      <c r="E22" s="23">
        <v>52576.45</v>
      </c>
      <c r="F22" s="23">
        <v>30679.12</v>
      </c>
      <c r="G22" s="23">
        <f>SUM(E22-F22)</f>
        <v>21897.329999999998</v>
      </c>
    </row>
    <row r="23" spans="1:7" ht="12">
      <c r="A23" s="22"/>
      <c r="B23" s="22"/>
      <c r="C23" s="22"/>
      <c r="D23" s="24"/>
      <c r="E23" s="23"/>
      <c r="F23" s="23"/>
      <c r="G23" s="23"/>
    </row>
    <row r="24" spans="1:7" ht="12">
      <c r="A24" s="33">
        <v>36923</v>
      </c>
      <c r="B24" s="20">
        <v>184.05</v>
      </c>
      <c r="C24" s="20">
        <v>795.74</v>
      </c>
      <c r="D24" s="22">
        <f>SUM(B24:C24)</f>
        <v>979.79</v>
      </c>
      <c r="E24" s="21">
        <v>46015.88</v>
      </c>
      <c r="F24" s="21">
        <v>22347.26</v>
      </c>
      <c r="G24" s="21">
        <f>SUM(E24-F24)</f>
        <v>23668.62</v>
      </c>
    </row>
    <row r="25" spans="1:7" ht="12">
      <c r="A25" s="24"/>
      <c r="B25" s="24"/>
      <c r="C25" s="24"/>
      <c r="D25" s="24"/>
      <c r="E25" s="25"/>
      <c r="F25" s="25"/>
      <c r="G25" s="25"/>
    </row>
    <row r="26" spans="1:7" ht="12">
      <c r="A26" s="34">
        <v>36951</v>
      </c>
      <c r="B26" s="22">
        <v>213.44</v>
      </c>
      <c r="C26" s="22">
        <f>416.56+5.56+498.39+54.13</f>
        <v>974.64</v>
      </c>
      <c r="D26" s="22">
        <f>SUM(B26:C26)</f>
        <v>1188.08</v>
      </c>
      <c r="E26" s="23">
        <v>55999.17</v>
      </c>
      <c r="F26" s="23">
        <v>34502.29</v>
      </c>
      <c r="G26" s="23">
        <f>SUM(E26-F26)</f>
        <v>21496.879999999997</v>
      </c>
    </row>
    <row r="27" spans="1:7" ht="12">
      <c r="A27" s="22"/>
      <c r="B27" s="22"/>
      <c r="C27" s="22"/>
      <c r="D27" s="22"/>
      <c r="E27" s="23"/>
      <c r="F27" s="23"/>
      <c r="G27" s="23"/>
    </row>
    <row r="28" spans="1:7" ht="12">
      <c r="A28" s="33">
        <v>36982</v>
      </c>
      <c r="B28" s="20">
        <v>203.07</v>
      </c>
      <c r="C28" s="20">
        <v>882.77</v>
      </c>
      <c r="D28" s="20">
        <f>SUM(B28:C28)</f>
        <v>1085.84</v>
      </c>
      <c r="E28" s="21">
        <v>51589.62</v>
      </c>
      <c r="F28" s="21">
        <v>41500.58</v>
      </c>
      <c r="G28" s="21">
        <f>SUM(E28-F28)</f>
        <v>10089.04</v>
      </c>
    </row>
    <row r="29" spans="1:7" ht="12">
      <c r="A29" s="24"/>
      <c r="B29" s="24"/>
      <c r="C29" s="24"/>
      <c r="D29" s="24"/>
      <c r="E29" s="25"/>
      <c r="F29" s="25"/>
      <c r="G29" s="25"/>
    </row>
    <row r="30" spans="1:7" ht="12">
      <c r="A30" s="34">
        <v>37012</v>
      </c>
      <c r="B30" s="22">
        <v>225.01</v>
      </c>
      <c r="C30" s="22">
        <f>426.5+540.52+0.45</f>
        <v>967.47</v>
      </c>
      <c r="D30" s="22">
        <f>SUM(B30:C30)</f>
        <v>1192.48</v>
      </c>
      <c r="E30" s="23">
        <v>56664.86</v>
      </c>
      <c r="F30" s="23">
        <v>34501.78</v>
      </c>
      <c r="G30" s="21">
        <f>SUM(E30-F30)</f>
        <v>22163.08</v>
      </c>
    </row>
    <row r="31" spans="1:7" ht="12">
      <c r="A31" s="22"/>
      <c r="B31" s="22"/>
      <c r="C31" s="22"/>
      <c r="D31" s="22"/>
      <c r="E31" s="23"/>
      <c r="F31" s="23"/>
      <c r="G31" s="23"/>
    </row>
    <row r="32" spans="1:7" ht="12">
      <c r="A32" s="33">
        <v>37043</v>
      </c>
      <c r="B32" s="20">
        <v>194.28</v>
      </c>
      <c r="C32" s="20">
        <f>364.98+1.42+436.46+70.92</f>
        <v>873.78</v>
      </c>
      <c r="D32" s="20">
        <f>SUM(B32:C32)</f>
        <v>1068.06</v>
      </c>
      <c r="E32" s="21">
        <v>49552.68</v>
      </c>
      <c r="F32" s="21">
        <v>34276.53</v>
      </c>
      <c r="G32" s="21">
        <f>SUM(E32-F32)</f>
        <v>15276.150000000001</v>
      </c>
    </row>
    <row r="33" spans="1:7" ht="12">
      <c r="A33" s="24"/>
      <c r="B33" s="24"/>
      <c r="C33" s="24"/>
      <c r="D33" s="24"/>
      <c r="E33" s="25"/>
      <c r="F33" s="25"/>
      <c r="G33" s="25"/>
    </row>
    <row r="34" spans="1:7" ht="15.75">
      <c r="A34" s="31" t="s">
        <v>85</v>
      </c>
      <c r="B34" s="27">
        <f>SUM(B10:B33)</f>
        <v>2413.1800000000003</v>
      </c>
      <c r="C34" s="27">
        <f>SUM(C10:C33)</f>
        <v>10724.77</v>
      </c>
      <c r="D34" s="27">
        <f>SUM(D10:D32)</f>
        <v>13137.949999999997</v>
      </c>
      <c r="E34" s="28">
        <f>SUM(E10:E33)</f>
        <v>623069.2000000001</v>
      </c>
      <c r="F34" s="28">
        <f>SUM(F10:F33)</f>
        <v>466837.74</v>
      </c>
      <c r="G34" s="28">
        <f>SUM(G10:G33)</f>
        <v>156231.46</v>
      </c>
    </row>
    <row r="36" spans="2:7" ht="15.75">
      <c r="B36" s="9"/>
      <c r="C36" s="55" t="s">
        <v>7</v>
      </c>
      <c r="D36" s="56">
        <f>SUM(D10:D32)/12</f>
        <v>1094.8291666666664</v>
      </c>
      <c r="F36" s="32" t="s">
        <v>86</v>
      </c>
      <c r="G36" s="29">
        <f>SUM(G34)/D34</f>
        <v>11.891616271945017</v>
      </c>
    </row>
    <row r="37" spans="1:7" ht="15.75">
      <c r="A37" s="14" t="s">
        <v>89</v>
      </c>
      <c r="B37" s="9"/>
      <c r="C37" s="9"/>
      <c r="D37" s="9"/>
      <c r="E37" s="9"/>
      <c r="F37" s="9"/>
      <c r="G37" s="35"/>
    </row>
    <row r="38" spans="1:7" ht="15.75">
      <c r="A38" t="s">
        <v>87</v>
      </c>
      <c r="B38" s="9"/>
      <c r="C38" s="9"/>
      <c r="D38" s="9"/>
      <c r="E38" s="9"/>
      <c r="F38" s="9"/>
      <c r="G38" s="35"/>
    </row>
    <row r="39" spans="1:7" ht="15.75">
      <c r="A39" t="s">
        <v>88</v>
      </c>
      <c r="B39" s="9"/>
      <c r="C39" s="9"/>
      <c r="D39" s="9"/>
      <c r="E39" s="9"/>
      <c r="F39" s="9"/>
      <c r="G39" s="35"/>
    </row>
    <row r="40" spans="2:7" ht="15.75">
      <c r="B40" s="9"/>
      <c r="C40" s="9"/>
      <c r="D40" s="9"/>
      <c r="E40" s="9"/>
      <c r="F40" s="9"/>
      <c r="G40" s="35"/>
    </row>
    <row r="41" spans="2:7" ht="15.75">
      <c r="B41" s="9"/>
      <c r="C41" s="9"/>
      <c r="D41" s="9"/>
      <c r="E41" s="9"/>
      <c r="F41" s="9"/>
      <c r="G41" s="35"/>
    </row>
    <row r="43" spans="1:7" ht="15.75">
      <c r="A43" s="36">
        <v>36708</v>
      </c>
      <c r="B43" s="9"/>
      <c r="C43" s="9"/>
      <c r="D43" s="9"/>
      <c r="E43" s="9"/>
      <c r="F43" s="9"/>
      <c r="G43" s="35"/>
    </row>
    <row r="44" ht="12">
      <c r="A44" s="13"/>
    </row>
    <row r="45" spans="1:2" ht="15.75">
      <c r="A45" s="12" t="s">
        <v>38</v>
      </c>
      <c r="B45" s="1">
        <f>225.09+17.69+114.45+67.91</f>
        <v>425.14</v>
      </c>
    </row>
    <row r="46" spans="1:2" ht="15.75">
      <c r="A46" s="3" t="s">
        <v>39</v>
      </c>
      <c r="B46" s="1"/>
    </row>
    <row r="47" spans="1:2" ht="15.75">
      <c r="A47" s="1" t="s">
        <v>40</v>
      </c>
      <c r="B47" s="1">
        <v>551.29</v>
      </c>
    </row>
    <row r="48" spans="1:2" ht="15.75">
      <c r="A48" s="1"/>
      <c r="B48" s="1"/>
    </row>
    <row r="49" spans="1:2" ht="15.75">
      <c r="A49" s="1" t="s">
        <v>41</v>
      </c>
      <c r="B49" s="1">
        <f>SUM(B45+B47)</f>
        <v>976.43</v>
      </c>
    </row>
    <row r="50" spans="1:2" ht="15.75">
      <c r="A50" s="3" t="s">
        <v>39</v>
      </c>
      <c r="B50" s="1"/>
    </row>
    <row r="51" spans="1:2" ht="15.75">
      <c r="A51" s="1" t="s">
        <v>6</v>
      </c>
      <c r="B51" s="1">
        <f>SUM(B49)-B53</f>
        <v>201.42999999999995</v>
      </c>
    </row>
    <row r="52" spans="1:2" ht="15.75">
      <c r="A52" s="3" t="s">
        <v>39</v>
      </c>
      <c r="B52" s="1"/>
    </row>
    <row r="53" spans="1:2" ht="15.75">
      <c r="A53" s="1" t="s">
        <v>42</v>
      </c>
      <c r="B53" s="1">
        <v>775</v>
      </c>
    </row>
    <row r="54" ht="12">
      <c r="A54" s="4" t="s">
        <v>39</v>
      </c>
    </row>
    <row r="55" ht="12">
      <c r="A55" s="4" t="s">
        <v>39</v>
      </c>
    </row>
    <row r="56" spans="1:2" ht="15.75">
      <c r="A56" s="1" t="s">
        <v>43</v>
      </c>
      <c r="B56" s="1"/>
    </row>
    <row r="57" spans="1:8" ht="15.75">
      <c r="A57" s="5" t="s">
        <v>44</v>
      </c>
      <c r="B57" s="1"/>
      <c r="C57" s="6" t="s">
        <v>45</v>
      </c>
      <c r="D57" s="6" t="s">
        <v>46</v>
      </c>
      <c r="E57" s="6" t="s">
        <v>47</v>
      </c>
      <c r="F57" s="6" t="s">
        <v>48</v>
      </c>
      <c r="G57" s="6"/>
      <c r="H57" s="6" t="s">
        <v>49</v>
      </c>
    </row>
    <row r="58" spans="1:8" ht="12">
      <c r="A58" t="s">
        <v>50</v>
      </c>
      <c r="C58">
        <v>70.68</v>
      </c>
      <c r="D58">
        <v>41.63</v>
      </c>
      <c r="H58">
        <f aca="true" t="shared" si="0" ref="H58:H63">SUM(C58:F58)</f>
        <v>112.31</v>
      </c>
    </row>
    <row r="59" spans="1:8" ht="12">
      <c r="A59" t="s">
        <v>51</v>
      </c>
      <c r="C59">
        <v>126.88</v>
      </c>
      <c r="D59">
        <v>47.54</v>
      </c>
      <c r="F59">
        <v>46.73</v>
      </c>
      <c r="H59">
        <f t="shared" si="0"/>
        <v>221.14999999999998</v>
      </c>
    </row>
    <row r="60" spans="1:8" ht="12">
      <c r="A60" t="s">
        <v>52</v>
      </c>
      <c r="C60">
        <v>18.45</v>
      </c>
      <c r="D60">
        <v>21.57</v>
      </c>
      <c r="H60">
        <f t="shared" si="0"/>
        <v>40.019999999999996</v>
      </c>
    </row>
    <row r="61" spans="1:8" ht="12">
      <c r="A61" t="s">
        <v>53</v>
      </c>
      <c r="C61">
        <f>6.37+2.71</f>
        <v>9.08</v>
      </c>
      <c r="D61">
        <v>3.71</v>
      </c>
      <c r="F61">
        <v>38.87</v>
      </c>
      <c r="H61">
        <f t="shared" si="0"/>
        <v>51.66</v>
      </c>
    </row>
    <row r="62" spans="1:8" ht="12">
      <c r="A62" t="s">
        <v>54</v>
      </c>
      <c r="C62">
        <v>138.92</v>
      </c>
      <c r="D62">
        <v>96.39</v>
      </c>
      <c r="F62">
        <v>258.24</v>
      </c>
      <c r="H62">
        <f t="shared" si="0"/>
        <v>493.55</v>
      </c>
    </row>
    <row r="63" spans="1:8" ht="12">
      <c r="A63" t="s">
        <v>17</v>
      </c>
      <c r="C63">
        <v>0</v>
      </c>
      <c r="D63">
        <v>0</v>
      </c>
      <c r="F63">
        <v>57.74</v>
      </c>
      <c r="H63">
        <f t="shared" si="0"/>
        <v>57.74</v>
      </c>
    </row>
    <row r="64" spans="1:8" ht="15.75">
      <c r="A64" s="7" t="s">
        <v>55</v>
      </c>
      <c r="B64" s="1"/>
      <c r="C64" s="1">
        <f>SUM(C58:C62)</f>
        <v>364.01</v>
      </c>
      <c r="D64" s="1">
        <f>SUM(D58:D62)</f>
        <v>210.84</v>
      </c>
      <c r="E64" s="1">
        <f>SUM(E58:E62)</f>
        <v>0</v>
      </c>
      <c r="F64" s="8">
        <f>SUM(F58:F63)</f>
        <v>401.58000000000004</v>
      </c>
      <c r="G64" s="8"/>
      <c r="H64" s="1">
        <f>SUM(H58:H63)</f>
        <v>976.4300000000001</v>
      </c>
    </row>
    <row r="66" ht="15.75">
      <c r="A66" s="5" t="s">
        <v>56</v>
      </c>
    </row>
    <row r="67" spans="1:8" ht="12">
      <c r="A67" s="9" t="s">
        <v>50</v>
      </c>
      <c r="B67" s="9"/>
      <c r="C67" s="10">
        <v>0</v>
      </c>
      <c r="D67" s="10">
        <v>0</v>
      </c>
      <c r="E67" s="10">
        <v>0</v>
      </c>
      <c r="F67" s="10">
        <f>(F58/B49)*B51</f>
        <v>0</v>
      </c>
      <c r="G67" s="10"/>
      <c r="H67" s="10">
        <f aca="true" t="shared" si="1" ref="H67:H72">SUM(C67:F67)</f>
        <v>0</v>
      </c>
    </row>
    <row r="68" spans="1:8" ht="12">
      <c r="A68" s="9" t="s">
        <v>51</v>
      </c>
      <c r="B68" s="9"/>
      <c r="C68" s="10">
        <v>0</v>
      </c>
      <c r="D68" s="10">
        <v>0</v>
      </c>
      <c r="E68" s="10">
        <v>0</v>
      </c>
      <c r="F68" s="10">
        <v>0</v>
      </c>
      <c r="G68" s="10"/>
      <c r="H68" s="10">
        <f t="shared" si="1"/>
        <v>0</v>
      </c>
    </row>
    <row r="69" spans="1:8" ht="12">
      <c r="A69" s="9" t="s">
        <v>52</v>
      </c>
      <c r="B69" s="9"/>
      <c r="C69" s="10">
        <v>0</v>
      </c>
      <c r="D69" s="10">
        <v>0</v>
      </c>
      <c r="E69" s="10">
        <f>(E60/B49)*B51</f>
        <v>0</v>
      </c>
      <c r="F69" s="10">
        <v>0</v>
      </c>
      <c r="G69" s="10"/>
      <c r="H69" s="10">
        <f t="shared" si="1"/>
        <v>0</v>
      </c>
    </row>
    <row r="70" spans="1:8" ht="12">
      <c r="A70" s="9" t="s">
        <v>53</v>
      </c>
      <c r="B70" s="9"/>
      <c r="C70" s="10">
        <v>0</v>
      </c>
      <c r="D70" s="10">
        <v>0</v>
      </c>
      <c r="E70" s="10">
        <f>(E61/B49)*B51</f>
        <v>0</v>
      </c>
      <c r="F70" s="10">
        <v>0</v>
      </c>
      <c r="G70" s="10"/>
      <c r="H70" s="10">
        <f t="shared" si="1"/>
        <v>0</v>
      </c>
    </row>
    <row r="71" spans="1:8" ht="12">
      <c r="A71" s="9" t="s">
        <v>54</v>
      </c>
      <c r="B71" s="9"/>
      <c r="C71" s="10">
        <v>0</v>
      </c>
      <c r="D71" s="10">
        <v>0</v>
      </c>
      <c r="E71" s="10">
        <f>(E62/B49)*B51</f>
        <v>0</v>
      </c>
      <c r="F71" s="10">
        <v>0</v>
      </c>
      <c r="G71" s="10"/>
      <c r="H71" s="10">
        <f t="shared" si="1"/>
        <v>0</v>
      </c>
    </row>
    <row r="72" spans="1:8" ht="15.75">
      <c r="A72" s="7" t="s">
        <v>55</v>
      </c>
      <c r="B72" s="1"/>
      <c r="C72" s="8">
        <f>SUM(C67:C71)</f>
        <v>0</v>
      </c>
      <c r="D72" s="8">
        <f>SUM(D67:D71)</f>
        <v>0</v>
      </c>
      <c r="E72" s="8">
        <f>SUM(E67:E71)</f>
        <v>0</v>
      </c>
      <c r="F72" s="8">
        <f>SUM(F67:F71)</f>
        <v>0</v>
      </c>
      <c r="G72" s="8"/>
      <c r="H72" s="8">
        <f t="shared" si="1"/>
        <v>0</v>
      </c>
    </row>
    <row r="74" spans="1:8" ht="15.75">
      <c r="A74" s="1" t="s">
        <v>57</v>
      </c>
      <c r="B74" s="5"/>
      <c r="C74" s="6" t="s">
        <v>45</v>
      </c>
      <c r="D74" s="6" t="s">
        <v>46</v>
      </c>
      <c r="E74" s="6" t="s">
        <v>58</v>
      </c>
      <c r="F74" s="6" t="s">
        <v>59</v>
      </c>
      <c r="G74" s="6"/>
      <c r="H74" s="5"/>
    </row>
    <row r="75" spans="1:8" ht="15.75">
      <c r="A75" s="5" t="s">
        <v>44</v>
      </c>
      <c r="B75" s="5"/>
      <c r="C75" s="6" t="s">
        <v>60</v>
      </c>
      <c r="D75" s="6" t="s">
        <v>61</v>
      </c>
      <c r="E75" s="6" t="s">
        <v>62</v>
      </c>
      <c r="F75" s="6" t="s">
        <v>62</v>
      </c>
      <c r="G75" s="6"/>
      <c r="H75" s="6" t="s">
        <v>49</v>
      </c>
    </row>
    <row r="76" spans="1:8" ht="12">
      <c r="A76" s="9" t="s">
        <v>63</v>
      </c>
      <c r="B76" s="9"/>
      <c r="C76" s="11">
        <f>45*(C58+C59)</f>
        <v>8890.2</v>
      </c>
      <c r="D76" s="11">
        <f>86*(D58+D59)</f>
        <v>7668.62</v>
      </c>
      <c r="E76" s="11">
        <f>(E58+E59)*37.5</f>
        <v>0</v>
      </c>
      <c r="F76" s="11">
        <f>SUM(F58+F59)*37.5</f>
        <v>1752.3749999999998</v>
      </c>
      <c r="G76" s="11"/>
      <c r="H76" s="11">
        <f>C76+D76+E76+F76</f>
        <v>18311.195</v>
      </c>
    </row>
    <row r="77" spans="1:8" ht="12">
      <c r="A77" s="9" t="s">
        <v>64</v>
      </c>
      <c r="B77" s="9"/>
      <c r="C77" s="11">
        <f>(C60+C61)*45</f>
        <v>1238.8500000000001</v>
      </c>
      <c r="D77" s="11">
        <f>(D60+D61)*86</f>
        <v>2174.08</v>
      </c>
      <c r="E77" s="11">
        <f>(E60+E61)*37.5</f>
        <v>0</v>
      </c>
      <c r="F77" s="11">
        <f>SUM(F60+F61)*37.5</f>
        <v>1457.625</v>
      </c>
      <c r="G77" s="11"/>
      <c r="H77" s="11">
        <f>C77+D77+E77+F77</f>
        <v>4870.555</v>
      </c>
    </row>
    <row r="78" spans="1:8" ht="12">
      <c r="A78" s="9" t="s">
        <v>54</v>
      </c>
      <c r="B78" s="9"/>
      <c r="C78" s="11">
        <f>C62*45</f>
        <v>6251.4</v>
      </c>
      <c r="D78" s="11">
        <f>D62*86</f>
        <v>8289.54</v>
      </c>
      <c r="E78" s="11">
        <f>E62*37.5</f>
        <v>0</v>
      </c>
      <c r="F78" s="11">
        <f>SUM(F62)*37.5</f>
        <v>9684</v>
      </c>
      <c r="G78" s="11"/>
      <c r="H78" s="11">
        <f>C78+D78+E78+F78</f>
        <v>24224.940000000002</v>
      </c>
    </row>
    <row r="79" spans="1:8" ht="15.75">
      <c r="A79" s="7" t="s">
        <v>65</v>
      </c>
      <c r="B79" s="1"/>
      <c r="C79" s="2">
        <f>C76+C77+C78</f>
        <v>16380.45</v>
      </c>
      <c r="D79" s="2">
        <f>D76+D77+D78</f>
        <v>18132.24</v>
      </c>
      <c r="E79" s="2">
        <f>E76+E77+E78</f>
        <v>0</v>
      </c>
      <c r="F79" s="2">
        <f>F76+F77+F78</f>
        <v>12894</v>
      </c>
      <c r="G79" s="2"/>
      <c r="H79" s="2">
        <f>C79+D79+E79+F79</f>
        <v>47406.69</v>
      </c>
    </row>
    <row r="80" spans="1:7" ht="12">
      <c r="A80" s="9"/>
      <c r="B80" s="9"/>
      <c r="C80" s="11"/>
      <c r="D80" s="11"/>
      <c r="E80" s="11"/>
      <c r="F80" s="11"/>
      <c r="G80" s="11"/>
    </row>
    <row r="81" spans="1:7" ht="15.75">
      <c r="A81" s="5" t="s">
        <v>56</v>
      </c>
      <c r="B81" s="9"/>
      <c r="C81" s="11"/>
      <c r="D81" s="11"/>
      <c r="E81" s="11"/>
      <c r="F81" s="11"/>
      <c r="G81" s="11"/>
    </row>
    <row r="82" spans="1:8" ht="12">
      <c r="A82" s="9" t="s">
        <v>63</v>
      </c>
      <c r="B82" s="9"/>
      <c r="C82" s="11">
        <f>SUM(C67+C68)*45</f>
        <v>0</v>
      </c>
      <c r="D82" s="11">
        <f>SUM(D67+D68)*86</f>
        <v>0</v>
      </c>
      <c r="E82" s="11">
        <v>0</v>
      </c>
      <c r="F82" s="11">
        <f>SUM(F67+F68)*37.5</f>
        <v>0</v>
      </c>
      <c r="G82" s="11"/>
      <c r="H82" s="11">
        <f>C82+D82+E82+F82</f>
        <v>0</v>
      </c>
    </row>
    <row r="83" spans="1:8" ht="12">
      <c r="A83" s="9" t="s">
        <v>64</v>
      </c>
      <c r="B83" s="9"/>
      <c r="C83" s="11">
        <f>SUM(C69+C70)*45</f>
        <v>0</v>
      </c>
      <c r="D83" s="11">
        <f>SUM(D69+D70)*86</f>
        <v>0</v>
      </c>
      <c r="E83" s="11">
        <f>SUM(E69+E70)*86</f>
        <v>0</v>
      </c>
      <c r="F83" s="11">
        <f>SUM(F69+F70)*37.5</f>
        <v>0</v>
      </c>
      <c r="G83" s="11"/>
      <c r="H83" s="11">
        <f>C83+D83+E83+F83</f>
        <v>0</v>
      </c>
    </row>
    <row r="84" spans="1:8" ht="12">
      <c r="A84" s="9" t="s">
        <v>54</v>
      </c>
      <c r="B84" s="9"/>
      <c r="C84" s="11">
        <f>SUM(C71)*45</f>
        <v>0</v>
      </c>
      <c r="D84" s="11">
        <f>SUM(D71)*86</f>
        <v>0</v>
      </c>
      <c r="E84" s="11">
        <f>SUM(E71)*86</f>
        <v>0</v>
      </c>
      <c r="F84" s="11">
        <f>SUM(F71)*37.5</f>
        <v>0</v>
      </c>
      <c r="G84" s="11"/>
      <c r="H84" s="11">
        <f>C84+D84+E84+F84</f>
        <v>0</v>
      </c>
    </row>
    <row r="85" spans="1:8" ht="15.75">
      <c r="A85" s="7" t="s">
        <v>65</v>
      </c>
      <c r="B85" s="1"/>
      <c r="C85" s="2">
        <v>0</v>
      </c>
      <c r="D85" s="2">
        <v>0</v>
      </c>
      <c r="E85" s="2">
        <v>0</v>
      </c>
      <c r="F85" s="2">
        <v>0</v>
      </c>
      <c r="G85" s="2"/>
      <c r="H85" s="2">
        <f>C85+D85+E85+F85</f>
        <v>0</v>
      </c>
    </row>
    <row r="88" spans="1:2" ht="15.75">
      <c r="A88" s="1" t="s">
        <v>66</v>
      </c>
      <c r="B88" s="1"/>
    </row>
    <row r="89" spans="1:2" ht="15.75">
      <c r="A89" s="1" t="s">
        <v>67</v>
      </c>
      <c r="B89" s="2">
        <f>SUM(H79)</f>
        <v>47406.69</v>
      </c>
    </row>
    <row r="90" spans="1:2" ht="15.75">
      <c r="A90" s="1"/>
      <c r="B90" s="1"/>
    </row>
    <row r="91" spans="1:2" ht="15.75">
      <c r="A91" s="1" t="s">
        <v>66</v>
      </c>
      <c r="B91" s="1"/>
    </row>
    <row r="92" spans="1:2" ht="15.75">
      <c r="A92" s="1" t="s">
        <v>68</v>
      </c>
      <c r="B92" s="2">
        <f>H85</f>
        <v>0</v>
      </c>
    </row>
    <row r="93" spans="1:2" ht="15.75">
      <c r="A93" s="1"/>
      <c r="B93" s="1"/>
    </row>
    <row r="94" spans="1:2" ht="15.75">
      <c r="A94" s="1" t="s">
        <v>69</v>
      </c>
      <c r="B94" s="2">
        <f>SUM(B89+B92)</f>
        <v>47406.69</v>
      </c>
    </row>
    <row r="95" ht="15.75">
      <c r="A95" s="1"/>
    </row>
    <row r="96" spans="1:2" ht="15.75">
      <c r="A96" s="1" t="s">
        <v>70</v>
      </c>
      <c r="B96" s="2"/>
    </row>
    <row r="97" spans="1:2" ht="15.75">
      <c r="A97" s="1" t="s">
        <v>71</v>
      </c>
      <c r="B97" s="2">
        <v>53634.09</v>
      </c>
    </row>
    <row r="98" spans="1:2" ht="15.75">
      <c r="A98" s="1"/>
      <c r="B98" s="2"/>
    </row>
    <row r="99" spans="1:2" ht="15.75">
      <c r="A99" s="1" t="s">
        <v>72</v>
      </c>
      <c r="B99" s="2">
        <f>SUM(B94-B97)</f>
        <v>-6227.399999999994</v>
      </c>
    </row>
    <row r="103" spans="1:7" ht="15.75">
      <c r="A103" s="36">
        <v>36739</v>
      </c>
      <c r="B103" s="9"/>
      <c r="C103" s="9"/>
      <c r="D103" s="9"/>
      <c r="E103" s="9"/>
      <c r="F103" s="9"/>
      <c r="G103" s="35"/>
    </row>
    <row r="104" ht="12">
      <c r="A104" s="13"/>
    </row>
    <row r="105" spans="1:2" ht="15.75">
      <c r="A105" s="12" t="s">
        <v>38</v>
      </c>
      <c r="B105" s="1">
        <f>309.32+5.72+128.62+59.27</f>
        <v>502.93</v>
      </c>
    </row>
    <row r="106" spans="1:2" ht="15.75">
      <c r="A106" s="3" t="s">
        <v>39</v>
      </c>
      <c r="B106" s="1"/>
    </row>
    <row r="107" spans="1:2" ht="15.75">
      <c r="A107" s="1" t="s">
        <v>40</v>
      </c>
      <c r="B107" s="1">
        <f>182.7+33.16+86.29+299.79+21.68</f>
        <v>623.62</v>
      </c>
    </row>
    <row r="108" spans="1:2" ht="15.75">
      <c r="A108" s="1"/>
      <c r="B108" s="1"/>
    </row>
    <row r="109" spans="1:3" ht="15.75">
      <c r="A109" s="1" t="s">
        <v>41</v>
      </c>
      <c r="B109" s="1">
        <f>SUM(B105+B107)</f>
        <v>1126.55</v>
      </c>
      <c r="C109" t="s">
        <v>18</v>
      </c>
    </row>
    <row r="110" spans="1:2" ht="15.75">
      <c r="A110" s="3" t="s">
        <v>39</v>
      </c>
      <c r="B110" s="1"/>
    </row>
    <row r="111" spans="1:2" ht="15.75">
      <c r="A111" s="1" t="s">
        <v>6</v>
      </c>
      <c r="B111" s="1">
        <f>SUM(B109)-B113</f>
        <v>351.54999999999995</v>
      </c>
    </row>
    <row r="112" spans="1:2" ht="15.75">
      <c r="A112" s="3" t="s">
        <v>39</v>
      </c>
      <c r="B112" s="1"/>
    </row>
    <row r="113" spans="1:2" ht="15.75">
      <c r="A113" s="1" t="s">
        <v>42</v>
      </c>
      <c r="B113" s="1">
        <v>775</v>
      </c>
    </row>
    <row r="114" ht="12">
      <c r="A114" s="4" t="s">
        <v>39</v>
      </c>
    </row>
    <row r="115" ht="12">
      <c r="A115" s="4" t="s">
        <v>39</v>
      </c>
    </row>
    <row r="116" spans="1:2" ht="15.75">
      <c r="A116" s="1" t="s">
        <v>43</v>
      </c>
      <c r="B116" s="1"/>
    </row>
    <row r="117" spans="1:8" ht="15.75">
      <c r="A117" s="5" t="s">
        <v>44</v>
      </c>
      <c r="B117" s="1"/>
      <c r="C117" s="6" t="s">
        <v>45</v>
      </c>
      <c r="D117" s="6" t="s">
        <v>46</v>
      </c>
      <c r="E117" s="6" t="s">
        <v>47</v>
      </c>
      <c r="F117" s="6" t="s">
        <v>48</v>
      </c>
      <c r="G117" s="6"/>
      <c r="H117" s="6" t="s">
        <v>49</v>
      </c>
    </row>
    <row r="118" spans="1:8" ht="12">
      <c r="A118" t="s">
        <v>50</v>
      </c>
      <c r="C118">
        <f>99.52</f>
        <v>99.52</v>
      </c>
      <c r="D118">
        <v>54.01</v>
      </c>
      <c r="F118">
        <v>0</v>
      </c>
      <c r="H118">
        <f>SUM(C118:F118)</f>
        <v>153.53</v>
      </c>
    </row>
    <row r="119" spans="1:8" ht="12">
      <c r="A119" t="s">
        <v>51</v>
      </c>
      <c r="C119">
        <f>170.45+2.28</f>
        <v>172.73</v>
      </c>
      <c r="D119">
        <v>55.05</v>
      </c>
      <c r="E119">
        <v>1.63</v>
      </c>
      <c r="F119">
        <f>4.01+40.01</f>
        <v>44.019999999999996</v>
      </c>
      <c r="H119">
        <f>SUM(C119:F119)</f>
        <v>273.42999999999995</v>
      </c>
    </row>
    <row r="120" spans="1:8" ht="12">
      <c r="A120" t="s">
        <v>52</v>
      </c>
      <c r="C120">
        <v>12.87</v>
      </c>
      <c r="D120">
        <v>8.72</v>
      </c>
      <c r="F120">
        <v>0</v>
      </c>
      <c r="H120">
        <f>SUM(C120:F120)</f>
        <v>21.59</v>
      </c>
    </row>
    <row r="121" spans="1:8" ht="12">
      <c r="A121" t="s">
        <v>53</v>
      </c>
      <c r="C121">
        <v>24.2</v>
      </c>
      <c r="D121">
        <f>10.24+0.6</f>
        <v>10.84</v>
      </c>
      <c r="F121">
        <f>1.93+7.81+3.88+5.72</f>
        <v>19.34</v>
      </c>
      <c r="H121">
        <f>SUM(C121:F121)</f>
        <v>54.379999999999995</v>
      </c>
    </row>
    <row r="122" spans="1:8" ht="12">
      <c r="A122" t="s">
        <v>54</v>
      </c>
      <c r="C122">
        <f>182.7</f>
        <v>182.7</v>
      </c>
      <c r="D122">
        <v>86.29</v>
      </c>
      <c r="F122">
        <f>299.79+33.16</f>
        <v>332.95000000000005</v>
      </c>
      <c r="H122">
        <f>SUM(C122:F122)</f>
        <v>601.94</v>
      </c>
    </row>
    <row r="123" spans="1:8" ht="15.75">
      <c r="A123" s="7" t="s">
        <v>55</v>
      </c>
      <c r="B123" s="1"/>
      <c r="C123" s="1">
        <f>SUM(C118:C122)</f>
        <v>492.02</v>
      </c>
      <c r="D123" s="1">
        <f>SUM(D118:D122)</f>
        <v>214.91000000000003</v>
      </c>
      <c r="E123" s="1">
        <f>SUM(E118:E122)</f>
        <v>1.63</v>
      </c>
      <c r="F123" s="8">
        <f>SUM(F118:F122)</f>
        <v>396.31000000000006</v>
      </c>
      <c r="G123" s="8"/>
      <c r="H123" s="1">
        <f>SUM(H118:H122)</f>
        <v>1104.87</v>
      </c>
    </row>
    <row r="125" ht="15.75">
      <c r="A125" s="5" t="s">
        <v>56</v>
      </c>
    </row>
    <row r="126" spans="1:8" ht="12">
      <c r="A126" s="9" t="s">
        <v>50</v>
      </c>
      <c r="B126" s="9"/>
      <c r="C126" s="10">
        <v>0</v>
      </c>
      <c r="D126" s="10">
        <v>0</v>
      </c>
      <c r="E126" s="10">
        <v>0</v>
      </c>
      <c r="F126" s="10">
        <f>(F118/B109)*B111</f>
        <v>0</v>
      </c>
      <c r="G126" s="10"/>
      <c r="H126" s="10">
        <f aca="true" t="shared" si="2" ref="H126:H131">SUM(C126:F126)</f>
        <v>0</v>
      </c>
    </row>
    <row r="127" spans="1:8" ht="12">
      <c r="A127" s="9" t="s">
        <v>51</v>
      </c>
      <c r="B127" s="9"/>
      <c r="C127" s="10">
        <v>0</v>
      </c>
      <c r="D127" s="10">
        <v>0</v>
      </c>
      <c r="E127" s="10">
        <v>0</v>
      </c>
      <c r="F127" s="10">
        <v>0</v>
      </c>
      <c r="G127" s="10"/>
      <c r="H127" s="10">
        <f t="shared" si="2"/>
        <v>0</v>
      </c>
    </row>
    <row r="128" spans="1:8" ht="12">
      <c r="A128" s="9" t="s">
        <v>52</v>
      </c>
      <c r="B128" s="9"/>
      <c r="C128" s="10">
        <v>0</v>
      </c>
      <c r="D128" s="10">
        <v>0</v>
      </c>
      <c r="E128" s="10">
        <f>(E120/B109)*B111</f>
        <v>0</v>
      </c>
      <c r="F128" s="10">
        <v>0</v>
      </c>
      <c r="G128" s="10"/>
      <c r="H128" s="10">
        <f t="shared" si="2"/>
        <v>0</v>
      </c>
    </row>
    <row r="129" spans="1:8" ht="12">
      <c r="A129" s="9" t="s">
        <v>53</v>
      </c>
      <c r="B129" s="9"/>
      <c r="C129" s="10">
        <v>0</v>
      </c>
      <c r="D129" s="10">
        <v>0</v>
      </c>
      <c r="E129" s="10">
        <f>(E121/B109)*B111</f>
        <v>0</v>
      </c>
      <c r="F129" s="10">
        <v>0</v>
      </c>
      <c r="G129" s="10"/>
      <c r="H129" s="10">
        <f t="shared" si="2"/>
        <v>0</v>
      </c>
    </row>
    <row r="130" spans="1:8" ht="12">
      <c r="A130" s="9" t="s">
        <v>54</v>
      </c>
      <c r="B130" s="9"/>
      <c r="C130" s="10">
        <v>0</v>
      </c>
      <c r="D130" s="10">
        <v>0</v>
      </c>
      <c r="E130" s="10">
        <f>(E122/B109)*B111</f>
        <v>0</v>
      </c>
      <c r="F130" s="10">
        <v>0</v>
      </c>
      <c r="G130" s="10"/>
      <c r="H130" s="10">
        <f t="shared" si="2"/>
        <v>0</v>
      </c>
    </row>
    <row r="131" spans="1:8" ht="15.75">
      <c r="A131" s="7" t="s">
        <v>55</v>
      </c>
      <c r="B131" s="1"/>
      <c r="C131" s="8">
        <f>SUM(C126:C130)</f>
        <v>0</v>
      </c>
      <c r="D131" s="8">
        <f>SUM(D126:D130)</f>
        <v>0</v>
      </c>
      <c r="E131" s="8">
        <f>SUM(E126:E130)</f>
        <v>0</v>
      </c>
      <c r="F131" s="8">
        <f>SUM(F126:F130)</f>
        <v>0</v>
      </c>
      <c r="G131" s="8"/>
      <c r="H131" s="8">
        <f t="shared" si="2"/>
        <v>0</v>
      </c>
    </row>
    <row r="133" spans="1:8" ht="15.75">
      <c r="A133" s="1" t="s">
        <v>57</v>
      </c>
      <c r="B133" s="5"/>
      <c r="C133" s="6" t="s">
        <v>45</v>
      </c>
      <c r="D133" s="6" t="s">
        <v>46</v>
      </c>
      <c r="E133" s="6" t="s">
        <v>58</v>
      </c>
      <c r="F133" s="6" t="s">
        <v>59</v>
      </c>
      <c r="G133" s="6"/>
      <c r="H133" s="5"/>
    </row>
    <row r="134" spans="1:8" ht="15.75">
      <c r="A134" s="5" t="s">
        <v>44</v>
      </c>
      <c r="B134" s="5"/>
      <c r="C134" s="6" t="s">
        <v>60</v>
      </c>
      <c r="D134" s="6" t="s">
        <v>61</v>
      </c>
      <c r="E134" s="6" t="s">
        <v>62</v>
      </c>
      <c r="F134" s="6" t="s">
        <v>62</v>
      </c>
      <c r="G134" s="6"/>
      <c r="H134" s="6" t="s">
        <v>49</v>
      </c>
    </row>
    <row r="135" spans="1:8" ht="12">
      <c r="A135" s="9" t="s">
        <v>63</v>
      </c>
      <c r="B135" s="9"/>
      <c r="C135" s="11">
        <f>45*(C118+C119)</f>
        <v>12251.25</v>
      </c>
      <c r="D135" s="11">
        <f>86*(D118+D119)</f>
        <v>9379.16</v>
      </c>
      <c r="E135" s="11">
        <f>(E118+E119)*37.5</f>
        <v>61.12499999999999</v>
      </c>
      <c r="F135" s="11">
        <f>SUM(F118+F119)*37.5</f>
        <v>1650.7499999999998</v>
      </c>
      <c r="G135" s="11"/>
      <c r="H135" s="11">
        <f>C135+D135+E135+F135</f>
        <v>23342.285</v>
      </c>
    </row>
    <row r="136" spans="1:8" ht="12">
      <c r="A136" s="9" t="s">
        <v>64</v>
      </c>
      <c r="B136" s="9"/>
      <c r="C136" s="11">
        <f>(C120+C121)*45</f>
        <v>1668.15</v>
      </c>
      <c r="D136" s="11">
        <f>(D120+D121)*86</f>
        <v>1682.1600000000003</v>
      </c>
      <c r="E136" s="11">
        <f>(E120+E121)*37.5</f>
        <v>0</v>
      </c>
      <c r="F136" s="11">
        <f>SUM(F120+F121)*37.5</f>
        <v>725.25</v>
      </c>
      <c r="G136" s="11"/>
      <c r="H136" s="11">
        <f>C136+D136+E136+F136</f>
        <v>4075.5600000000004</v>
      </c>
    </row>
    <row r="137" spans="1:8" ht="12">
      <c r="A137" s="9" t="s">
        <v>54</v>
      </c>
      <c r="B137" s="9"/>
      <c r="C137" s="11">
        <f>C122*45</f>
        <v>8221.5</v>
      </c>
      <c r="D137" s="11">
        <f>D122*86</f>
        <v>7420.9400000000005</v>
      </c>
      <c r="E137" s="11">
        <f>E122*37.5</f>
        <v>0</v>
      </c>
      <c r="F137" s="11">
        <f>SUM(F122)*37.5</f>
        <v>12485.625000000002</v>
      </c>
      <c r="G137" s="11"/>
      <c r="H137" s="11">
        <f>C137+D137+E137+F137</f>
        <v>28128.065000000002</v>
      </c>
    </row>
    <row r="138" spans="1:8" ht="15.75">
      <c r="A138" s="7" t="s">
        <v>65</v>
      </c>
      <c r="B138" s="1"/>
      <c r="C138" s="2">
        <f>C135+C136+C137</f>
        <v>22140.9</v>
      </c>
      <c r="D138" s="2">
        <f>D135+D136+D137</f>
        <v>18482.260000000002</v>
      </c>
      <c r="E138" s="2">
        <f>E135+E136+E137</f>
        <v>61.12499999999999</v>
      </c>
      <c r="F138" s="2">
        <f>F135+F136+F137</f>
        <v>14861.625000000002</v>
      </c>
      <c r="G138" s="2"/>
      <c r="H138" s="2">
        <f>C138+D138+E138+F138</f>
        <v>55545.91</v>
      </c>
    </row>
    <row r="139" spans="1:7" ht="12">
      <c r="A139" s="9"/>
      <c r="B139" s="9"/>
      <c r="C139" s="11"/>
      <c r="D139" s="11"/>
      <c r="E139" s="11"/>
      <c r="F139" s="11"/>
      <c r="G139" s="11"/>
    </row>
    <row r="140" spans="1:7" ht="15.75">
      <c r="A140" s="5" t="s">
        <v>56</v>
      </c>
      <c r="B140" s="9"/>
      <c r="C140" s="11"/>
      <c r="D140" s="11"/>
      <c r="E140" s="11"/>
      <c r="F140" s="11"/>
      <c r="G140" s="11"/>
    </row>
    <row r="141" spans="1:8" ht="12">
      <c r="A141" s="9" t="s">
        <v>63</v>
      </c>
      <c r="B141" s="9"/>
      <c r="C141" s="11">
        <f>SUM(C126+C127)*45</f>
        <v>0</v>
      </c>
      <c r="D141" s="11">
        <f>SUM(D126+D127)*86</f>
        <v>0</v>
      </c>
      <c r="E141" s="11">
        <v>0</v>
      </c>
      <c r="F141" s="11">
        <f>SUM(F126+F127)*37.5</f>
        <v>0</v>
      </c>
      <c r="G141" s="11"/>
      <c r="H141" s="11">
        <f>C141+D141+E141+F141</f>
        <v>0</v>
      </c>
    </row>
    <row r="142" spans="1:8" ht="12">
      <c r="A142" s="9" t="s">
        <v>64</v>
      </c>
      <c r="B142" s="9"/>
      <c r="C142" s="11">
        <f>SUM(C128+C129)*45</f>
        <v>0</v>
      </c>
      <c r="D142" s="11">
        <f>SUM(D128+D129)*86</f>
        <v>0</v>
      </c>
      <c r="E142" s="11">
        <f>SUM(E128+E129)*86</f>
        <v>0</v>
      </c>
      <c r="F142" s="11">
        <f>SUM(F128+F129)*37.5</f>
        <v>0</v>
      </c>
      <c r="G142" s="11"/>
      <c r="H142" s="11">
        <f>C142+D142+E142+F142</f>
        <v>0</v>
      </c>
    </row>
    <row r="143" spans="1:8" ht="12">
      <c r="A143" s="9" t="s">
        <v>54</v>
      </c>
      <c r="B143" s="9"/>
      <c r="C143" s="11">
        <f>SUM(C130)*45</f>
        <v>0</v>
      </c>
      <c r="D143" s="11">
        <f>SUM(D130)*86</f>
        <v>0</v>
      </c>
      <c r="E143" s="11">
        <f>SUM(E130)*86</f>
        <v>0</v>
      </c>
      <c r="F143" s="11">
        <f>SUM(F130)*37.5</f>
        <v>0</v>
      </c>
      <c r="G143" s="11"/>
      <c r="H143" s="11">
        <f>C143+D143+E143+F143</f>
        <v>0</v>
      </c>
    </row>
    <row r="144" spans="1:8" ht="15.75">
      <c r="A144" s="7" t="s">
        <v>65</v>
      </c>
      <c r="B144" s="1"/>
      <c r="C144" s="2">
        <v>0</v>
      </c>
      <c r="D144" s="2">
        <v>0</v>
      </c>
      <c r="E144" s="2">
        <v>0</v>
      </c>
      <c r="F144" s="2">
        <v>0</v>
      </c>
      <c r="G144" s="2"/>
      <c r="H144" s="2">
        <f>C144+D144+E144+F144</f>
        <v>0</v>
      </c>
    </row>
    <row r="147" spans="1:2" ht="15.75">
      <c r="A147" s="1" t="s">
        <v>66</v>
      </c>
      <c r="B147" s="1"/>
    </row>
    <row r="148" spans="1:2" ht="15.75">
      <c r="A148" s="1" t="s">
        <v>67</v>
      </c>
      <c r="B148" s="2">
        <f>SUM(H138)</f>
        <v>55545.91</v>
      </c>
    </row>
    <row r="149" spans="1:2" ht="15.75">
      <c r="A149" s="1"/>
      <c r="B149" s="1"/>
    </row>
    <row r="150" spans="1:2" ht="15.75">
      <c r="A150" s="1" t="s">
        <v>66</v>
      </c>
      <c r="B150" s="1"/>
    </row>
    <row r="151" spans="1:2" ht="15.75">
      <c r="A151" s="1" t="s">
        <v>68</v>
      </c>
      <c r="B151" s="2">
        <f>H144</f>
        <v>0</v>
      </c>
    </row>
    <row r="152" spans="1:2" ht="15.75">
      <c r="A152" s="1"/>
      <c r="B152" s="1"/>
    </row>
    <row r="153" spans="1:2" ht="15.75">
      <c r="A153" s="1" t="s">
        <v>69</v>
      </c>
      <c r="B153" s="2">
        <f>SUM(B148+B151)</f>
        <v>55545.91</v>
      </c>
    </row>
    <row r="154" ht="15.75">
      <c r="A154" s="1"/>
    </row>
    <row r="155" spans="1:2" ht="15.75">
      <c r="A155" s="1" t="s">
        <v>70</v>
      </c>
      <c r="B155" s="2">
        <v>52223.35</v>
      </c>
    </row>
    <row r="156" spans="1:2" ht="15.75">
      <c r="A156" s="1" t="s">
        <v>71</v>
      </c>
      <c r="B156" s="2"/>
    </row>
    <row r="157" spans="1:2" ht="15.75">
      <c r="A157" s="1"/>
      <c r="B157" s="2"/>
    </row>
    <row r="158" spans="1:2" ht="15.75">
      <c r="A158" s="1" t="s">
        <v>72</v>
      </c>
      <c r="B158" s="2">
        <f>SUM(B153)-B155</f>
        <v>3322.560000000005</v>
      </c>
    </row>
    <row r="164" spans="1:7" ht="15.75">
      <c r="A164" s="36">
        <v>36770</v>
      </c>
      <c r="B164" s="9"/>
      <c r="C164" s="9"/>
      <c r="D164" s="9"/>
      <c r="E164" s="9"/>
      <c r="F164" s="9"/>
      <c r="G164" s="35"/>
    </row>
    <row r="165" ht="12">
      <c r="A165" s="13"/>
    </row>
    <row r="166" spans="1:2" ht="15.75">
      <c r="A166" s="12" t="s">
        <v>38</v>
      </c>
      <c r="B166" s="1">
        <f>98.25+139.28+1.59+15.15+21.4+50.2+42.42+1.69+16.79+2.77+1.03+0.39+26.27+48.9+8.93+3.65</f>
        <v>478.7099999999999</v>
      </c>
    </row>
    <row r="167" spans="1:2" ht="15.75">
      <c r="A167" s="3" t="s">
        <v>39</v>
      </c>
      <c r="B167" s="1"/>
    </row>
    <row r="168" spans="1:2" ht="15.75">
      <c r="A168" s="1" t="s">
        <v>40</v>
      </c>
      <c r="B168" s="1">
        <f>158.62+28.77+84.12+291.62+47.55+0.78</f>
        <v>611.4599999999999</v>
      </c>
    </row>
    <row r="169" spans="1:2" ht="15.75">
      <c r="A169" s="1"/>
      <c r="B169" s="1"/>
    </row>
    <row r="170" spans="1:3" ht="15.75">
      <c r="A170" s="1" t="s">
        <v>41</v>
      </c>
      <c r="B170" s="1">
        <f>SUM(B166+B168)</f>
        <v>1090.1699999999998</v>
      </c>
      <c r="C170" t="s">
        <v>20</v>
      </c>
    </row>
    <row r="171" spans="1:2" ht="15.75">
      <c r="A171" s="3" t="s">
        <v>39</v>
      </c>
      <c r="B171" s="1"/>
    </row>
    <row r="172" spans="1:2" ht="15.75">
      <c r="A172" s="1" t="s">
        <v>6</v>
      </c>
      <c r="B172" s="1">
        <f>SUM(B170)-B174</f>
        <v>315.16999999999985</v>
      </c>
    </row>
    <row r="173" spans="1:2" ht="15.75">
      <c r="A173" s="3" t="s">
        <v>39</v>
      </c>
      <c r="B173" s="1"/>
    </row>
    <row r="174" spans="1:2" ht="15.75">
      <c r="A174" s="1" t="s">
        <v>42</v>
      </c>
      <c r="B174" s="1">
        <v>775</v>
      </c>
    </row>
    <row r="175" ht="12">
      <c r="A175" s="4" t="s">
        <v>39</v>
      </c>
    </row>
    <row r="176" ht="12">
      <c r="A176" s="4" t="s">
        <v>39</v>
      </c>
    </row>
    <row r="177" spans="1:2" ht="15.75">
      <c r="A177" s="1" t="s">
        <v>43</v>
      </c>
      <c r="B177" s="1"/>
    </row>
    <row r="178" spans="1:8" ht="15.75">
      <c r="A178" s="5" t="s">
        <v>44</v>
      </c>
      <c r="B178" s="1"/>
      <c r="C178" s="6" t="s">
        <v>45</v>
      </c>
      <c r="D178" s="6" t="s">
        <v>46</v>
      </c>
      <c r="E178" s="6" t="s">
        <v>47</v>
      </c>
      <c r="F178" s="6" t="s">
        <v>48</v>
      </c>
      <c r="G178" s="6"/>
      <c r="H178" s="6" t="s">
        <v>49</v>
      </c>
    </row>
    <row r="179" spans="1:8" ht="12">
      <c r="A179" t="s">
        <v>50</v>
      </c>
      <c r="C179">
        <v>93.75</v>
      </c>
      <c r="D179">
        <v>44.35</v>
      </c>
      <c r="F179">
        <v>2.77</v>
      </c>
      <c r="H179">
        <f>SUM(C179:F179)</f>
        <v>140.87</v>
      </c>
    </row>
    <row r="180" spans="1:8" ht="12">
      <c r="A180" t="s">
        <v>51</v>
      </c>
      <c r="C180">
        <v>139.28</v>
      </c>
      <c r="D180">
        <v>42.42</v>
      </c>
      <c r="E180">
        <v>1.03</v>
      </c>
      <c r="F180">
        <v>48.9</v>
      </c>
      <c r="H180">
        <f>SUM(C180:F180)</f>
        <v>231.63</v>
      </c>
    </row>
    <row r="181" spans="1:8" ht="12">
      <c r="A181" t="s">
        <v>52</v>
      </c>
      <c r="C181">
        <f>1.59+4.5</f>
        <v>6.09</v>
      </c>
      <c r="D181">
        <f>1.69+5.85</f>
        <v>7.539999999999999</v>
      </c>
      <c r="F181">
        <f>0.39+10.31</f>
        <v>10.700000000000001</v>
      </c>
      <c r="H181">
        <f>SUM(C181:F181)</f>
        <v>24.33</v>
      </c>
    </row>
    <row r="182" spans="1:8" ht="12">
      <c r="A182" t="s">
        <v>53</v>
      </c>
      <c r="C182">
        <v>15.15</v>
      </c>
      <c r="D182">
        <v>16.79</v>
      </c>
      <c r="F182">
        <f>21.4+15.96+8.93+3.65</f>
        <v>49.94</v>
      </c>
      <c r="H182">
        <f>SUM(C182:F182)</f>
        <v>81.88</v>
      </c>
    </row>
    <row r="183" spans="1:8" ht="12">
      <c r="A183" t="s">
        <v>54</v>
      </c>
      <c r="C183">
        <v>158.62</v>
      </c>
      <c r="D183">
        <v>84.12</v>
      </c>
      <c r="F183">
        <f>28.77+291.62+0.78</f>
        <v>321.16999999999996</v>
      </c>
      <c r="H183">
        <f>SUM(C183:F183)</f>
        <v>563.91</v>
      </c>
    </row>
    <row r="184" spans="1:8" ht="15.75">
      <c r="A184" s="7" t="s">
        <v>55</v>
      </c>
      <c r="B184" s="1"/>
      <c r="C184" s="1">
        <f>SUM(C179:C183)</f>
        <v>412.89</v>
      </c>
      <c r="D184" s="1">
        <f>SUM(D179:D183)</f>
        <v>195.22</v>
      </c>
      <c r="E184" s="1">
        <f>SUM(E179:E183)</f>
        <v>1.03</v>
      </c>
      <c r="F184" s="8">
        <f>SUM(F179:F183)</f>
        <v>433.47999999999996</v>
      </c>
      <c r="G184" s="8"/>
      <c r="H184" s="1">
        <f>SUM(H179:H183)</f>
        <v>1042.62</v>
      </c>
    </row>
    <row r="186" ht="15.75">
      <c r="A186" s="5" t="s">
        <v>56</v>
      </c>
    </row>
    <row r="187" spans="1:8" ht="12">
      <c r="A187" s="9" t="s">
        <v>50</v>
      </c>
      <c r="B187" s="9"/>
      <c r="C187" s="10">
        <v>0</v>
      </c>
      <c r="D187" s="10">
        <v>0</v>
      </c>
      <c r="E187" s="10">
        <v>0</v>
      </c>
      <c r="F187" s="10">
        <v>0</v>
      </c>
      <c r="G187" s="10"/>
      <c r="H187" s="10">
        <f aca="true" t="shared" si="3" ref="H187:H192">SUM(C187:F187)</f>
        <v>0</v>
      </c>
    </row>
    <row r="188" spans="1:8" ht="12">
      <c r="A188" s="9" t="s">
        <v>51</v>
      </c>
      <c r="B188" s="9"/>
      <c r="C188" s="10">
        <v>0</v>
      </c>
      <c r="D188" s="10">
        <v>0</v>
      </c>
      <c r="E188" s="10">
        <v>0</v>
      </c>
      <c r="F188" s="10">
        <v>0</v>
      </c>
      <c r="G188" s="10"/>
      <c r="H188" s="10">
        <f t="shared" si="3"/>
        <v>0</v>
      </c>
    </row>
    <row r="189" spans="1:8" ht="12">
      <c r="A189" s="9" t="s">
        <v>52</v>
      </c>
      <c r="B189" s="9"/>
      <c r="C189" s="10">
        <v>0</v>
      </c>
      <c r="D189" s="10">
        <v>0</v>
      </c>
      <c r="E189" s="10">
        <f>(E181/B170)*B172</f>
        <v>0</v>
      </c>
      <c r="F189" s="10">
        <v>0</v>
      </c>
      <c r="G189" s="10"/>
      <c r="H189" s="10">
        <f t="shared" si="3"/>
        <v>0</v>
      </c>
    </row>
    <row r="190" spans="1:8" ht="12">
      <c r="A190" s="9" t="s">
        <v>53</v>
      </c>
      <c r="B190" s="9"/>
      <c r="C190" s="10">
        <v>0</v>
      </c>
      <c r="D190" s="10">
        <v>0</v>
      </c>
      <c r="E190" s="10">
        <f>(E182/B170)*B172</f>
        <v>0</v>
      </c>
      <c r="F190" s="10">
        <v>0</v>
      </c>
      <c r="G190" s="10"/>
      <c r="H190" s="10">
        <f t="shared" si="3"/>
        <v>0</v>
      </c>
    </row>
    <row r="191" spans="1:8" ht="12">
      <c r="A191" s="9" t="s">
        <v>54</v>
      </c>
      <c r="B191" s="9"/>
      <c r="C191" s="10">
        <v>0</v>
      </c>
      <c r="D191" s="10">
        <v>0</v>
      </c>
      <c r="E191" s="10">
        <f>(E183/B170)*B172</f>
        <v>0</v>
      </c>
      <c r="F191" s="10">
        <v>0</v>
      </c>
      <c r="G191" s="10"/>
      <c r="H191" s="10">
        <f t="shared" si="3"/>
        <v>0</v>
      </c>
    </row>
    <row r="192" spans="1:8" ht="15.75">
      <c r="A192" s="7" t="s">
        <v>55</v>
      </c>
      <c r="B192" s="1"/>
      <c r="C192" s="8">
        <f>SUM(C187:C191)</f>
        <v>0</v>
      </c>
      <c r="D192" s="8">
        <f>SUM(D187:D191)</f>
        <v>0</v>
      </c>
      <c r="E192" s="8">
        <f>SUM(E187:E191)</f>
        <v>0</v>
      </c>
      <c r="F192" s="8">
        <f>SUM(F187:F191)</f>
        <v>0</v>
      </c>
      <c r="G192" s="8"/>
      <c r="H192" s="8">
        <f t="shared" si="3"/>
        <v>0</v>
      </c>
    </row>
    <row r="194" spans="1:8" ht="15.75">
      <c r="A194" s="1" t="s">
        <v>57</v>
      </c>
      <c r="B194" s="5"/>
      <c r="C194" s="6" t="s">
        <v>45</v>
      </c>
      <c r="D194" s="6" t="s">
        <v>46</v>
      </c>
      <c r="E194" s="6" t="s">
        <v>58</v>
      </c>
      <c r="F194" s="6" t="s">
        <v>59</v>
      </c>
      <c r="G194" s="6"/>
      <c r="H194" s="5"/>
    </row>
    <row r="195" spans="1:8" ht="15.75">
      <c r="A195" s="5" t="s">
        <v>44</v>
      </c>
      <c r="B195" s="5"/>
      <c r="C195" s="6" t="s">
        <v>60</v>
      </c>
      <c r="D195" s="6" t="s">
        <v>61</v>
      </c>
      <c r="E195" s="6" t="s">
        <v>62</v>
      </c>
      <c r="F195" s="6" t="s">
        <v>62</v>
      </c>
      <c r="G195" s="6"/>
      <c r="H195" s="6" t="s">
        <v>49</v>
      </c>
    </row>
    <row r="196" spans="1:8" ht="12">
      <c r="A196" s="9" t="s">
        <v>63</v>
      </c>
      <c r="B196" s="9"/>
      <c r="C196" s="11">
        <f>45*(C179+C180)</f>
        <v>10486.35</v>
      </c>
      <c r="D196" s="11">
        <f>86*(D179+D180)</f>
        <v>7462.220000000001</v>
      </c>
      <c r="E196" s="11">
        <f>(E179+E180)*37.5</f>
        <v>38.625</v>
      </c>
      <c r="F196" s="11">
        <f>(F179+F180)*37.5</f>
        <v>1937.625</v>
      </c>
      <c r="G196" s="11"/>
      <c r="H196" s="11">
        <f>C196+D196+E196+F196</f>
        <v>19924.82</v>
      </c>
    </row>
    <row r="197" spans="1:8" ht="12">
      <c r="A197" s="9" t="s">
        <v>64</v>
      </c>
      <c r="B197" s="9"/>
      <c r="C197" s="11">
        <f>(C181+C182)*45</f>
        <v>955.8000000000001</v>
      </c>
      <c r="D197" s="11">
        <f>(D181+D182)*86</f>
        <v>2092.3799999999997</v>
      </c>
      <c r="E197" s="11">
        <f>(E181+E182)*37.5</f>
        <v>0</v>
      </c>
      <c r="F197" s="11">
        <f>(F181+F182)*37.5</f>
        <v>2274</v>
      </c>
      <c r="G197" s="11"/>
      <c r="H197" s="11">
        <f>C197+D197+E197+F197</f>
        <v>5322.18</v>
      </c>
    </row>
    <row r="198" spans="1:8" ht="12">
      <c r="A198" s="9" t="s">
        <v>54</v>
      </c>
      <c r="B198" s="9"/>
      <c r="C198" s="11">
        <f>C183*45</f>
        <v>7137.900000000001</v>
      </c>
      <c r="D198" s="11">
        <f>D183*86</f>
        <v>7234.320000000001</v>
      </c>
      <c r="E198" s="11">
        <f>E183*37.5</f>
        <v>0</v>
      </c>
      <c r="F198" s="11">
        <f>F183*37.5</f>
        <v>12043.874999999998</v>
      </c>
      <c r="G198" s="11"/>
      <c r="H198" s="11">
        <f>C198+D198+E198+F198</f>
        <v>26416.095</v>
      </c>
    </row>
    <row r="199" spans="1:8" ht="15.75">
      <c r="A199" s="7" t="s">
        <v>65</v>
      </c>
      <c r="B199" s="1"/>
      <c r="C199" s="2">
        <f>C196+C197+C198</f>
        <v>18580.05</v>
      </c>
      <c r="D199" s="2">
        <f>D196+D197+D198</f>
        <v>16788.920000000002</v>
      </c>
      <c r="E199" s="2">
        <f>E196+E197+E198</f>
        <v>38.625</v>
      </c>
      <c r="F199" s="2">
        <f>F196+F197+F198</f>
        <v>16255.499999999998</v>
      </c>
      <c r="G199" s="2"/>
      <c r="H199" s="2">
        <f>C199+D199+E199+F199</f>
        <v>51663.095</v>
      </c>
    </row>
    <row r="200" spans="1:7" ht="12">
      <c r="A200" s="9"/>
      <c r="B200" s="9"/>
      <c r="C200" s="11"/>
      <c r="D200" s="11"/>
      <c r="E200" s="11"/>
      <c r="F200" s="11"/>
      <c r="G200" s="11"/>
    </row>
    <row r="201" spans="1:7" ht="15.75">
      <c r="A201" s="5" t="s">
        <v>56</v>
      </c>
      <c r="B201" s="9"/>
      <c r="C201" s="11"/>
      <c r="D201" s="11"/>
      <c r="E201" s="11"/>
      <c r="F201" s="11"/>
      <c r="G201" s="11"/>
    </row>
    <row r="202" spans="1:8" ht="12">
      <c r="A202" s="9" t="s">
        <v>63</v>
      </c>
      <c r="B202" s="9"/>
      <c r="C202" s="11">
        <f>SUM(C187+C188)*45</f>
        <v>0</v>
      </c>
      <c r="D202" s="11">
        <f>SUM(D187+D188)*86</f>
        <v>0</v>
      </c>
      <c r="E202" s="11">
        <v>0</v>
      </c>
      <c r="F202" s="11">
        <f>SUM(F187+F188)*37.5</f>
        <v>0</v>
      </c>
      <c r="G202" s="11"/>
      <c r="H202" s="11">
        <f>C202+D202+E202+F202</f>
        <v>0</v>
      </c>
    </row>
    <row r="203" spans="1:8" ht="12">
      <c r="A203" s="9" t="s">
        <v>64</v>
      </c>
      <c r="B203" s="9"/>
      <c r="C203" s="11">
        <f>SUM(C189+C190)*45</f>
        <v>0</v>
      </c>
      <c r="D203" s="11">
        <f>SUM(D189+D190)*86</f>
        <v>0</v>
      </c>
      <c r="E203" s="11">
        <f>SUM(E189+E190)*86</f>
        <v>0</v>
      </c>
      <c r="F203" s="11">
        <f>SUM(F189+F190)*37.5</f>
        <v>0</v>
      </c>
      <c r="G203" s="11"/>
      <c r="H203" s="11">
        <f>C203+D203+E203+F203</f>
        <v>0</v>
      </c>
    </row>
    <row r="204" spans="1:8" ht="12">
      <c r="A204" s="9" t="s">
        <v>54</v>
      </c>
      <c r="B204" s="9"/>
      <c r="C204" s="11">
        <f>SUM(C191)*45</f>
        <v>0</v>
      </c>
      <c r="D204" s="11">
        <f>SUM(D191)*86</f>
        <v>0</v>
      </c>
      <c r="E204" s="11">
        <f>SUM(E191)*86</f>
        <v>0</v>
      </c>
      <c r="F204" s="11">
        <f>SUM(F191)*37.5</f>
        <v>0</v>
      </c>
      <c r="G204" s="11"/>
      <c r="H204" s="11">
        <f>C204+D204+E204+F204</f>
        <v>0</v>
      </c>
    </row>
    <row r="205" spans="1:8" ht="15.75">
      <c r="A205" s="7" t="s">
        <v>65</v>
      </c>
      <c r="B205" s="1"/>
      <c r="C205" s="2">
        <v>0</v>
      </c>
      <c r="D205" s="2">
        <v>0</v>
      </c>
      <c r="E205" s="2">
        <v>0</v>
      </c>
      <c r="F205" s="2">
        <v>0</v>
      </c>
      <c r="G205" s="2"/>
      <c r="H205" s="2">
        <f>C205+D205+E205+F205</f>
        <v>0</v>
      </c>
    </row>
    <row r="208" spans="1:2" ht="15.75">
      <c r="A208" s="1" t="s">
        <v>66</v>
      </c>
      <c r="B208" s="1"/>
    </row>
    <row r="209" spans="1:2" ht="15.75">
      <c r="A209" s="1" t="s">
        <v>67</v>
      </c>
      <c r="B209" s="2">
        <f>SUM(H199)</f>
        <v>51663.095</v>
      </c>
    </row>
    <row r="210" spans="1:2" ht="15.75">
      <c r="A210" s="1"/>
      <c r="B210" s="1"/>
    </row>
    <row r="211" spans="1:2" ht="15.75">
      <c r="A211" s="1" t="s">
        <v>66</v>
      </c>
      <c r="B211" s="1"/>
    </row>
    <row r="212" spans="1:2" ht="15.75">
      <c r="A212" s="1" t="s">
        <v>68</v>
      </c>
      <c r="B212" s="2">
        <f>H205</f>
        <v>0</v>
      </c>
    </row>
    <row r="213" spans="1:2" ht="15.75">
      <c r="A213" s="1"/>
      <c r="B213" s="1"/>
    </row>
    <row r="214" spans="1:2" ht="15.75">
      <c r="A214" s="1" t="s">
        <v>69</v>
      </c>
      <c r="B214" s="2">
        <f>SUM(B209+B212)</f>
        <v>51663.095</v>
      </c>
    </row>
    <row r="215" ht="15.75">
      <c r="A215" s="1"/>
    </row>
    <row r="216" spans="1:2" ht="15.75">
      <c r="A216" s="1" t="s">
        <v>70</v>
      </c>
      <c r="B216" s="2"/>
    </row>
    <row r="217" spans="1:2" ht="15.75">
      <c r="A217" s="1" t="s">
        <v>71</v>
      </c>
      <c r="B217" s="2">
        <v>39818.1</v>
      </c>
    </row>
    <row r="218" spans="1:2" ht="15.75">
      <c r="A218" s="1"/>
      <c r="B218" s="2"/>
    </row>
    <row r="219" spans="1:2" ht="15.75">
      <c r="A219" s="1" t="s">
        <v>72</v>
      </c>
      <c r="B219" s="2">
        <f>SUM(B214)-B217</f>
        <v>11844.995000000003</v>
      </c>
    </row>
    <row r="225" spans="1:7" ht="15.75">
      <c r="A225" s="36">
        <v>36800</v>
      </c>
      <c r="B225" s="9"/>
      <c r="C225" s="9"/>
      <c r="D225" s="9"/>
      <c r="E225" s="9"/>
      <c r="F225" s="9"/>
      <c r="G225" s="35"/>
    </row>
    <row r="226" ht="12">
      <c r="A226" s="13"/>
    </row>
    <row r="227" spans="1:2" ht="15.75">
      <c r="A227" s="12" t="s">
        <v>38</v>
      </c>
      <c r="B227" s="1">
        <f>258.37+17.89+122.97+1.32+91.69</f>
        <v>492.24</v>
      </c>
    </row>
    <row r="228" spans="1:2" ht="15.75">
      <c r="A228" s="3" t="s">
        <v>39</v>
      </c>
      <c r="B228" s="1"/>
    </row>
    <row r="229" spans="1:2" ht="15.75">
      <c r="A229" s="1" t="s">
        <v>40</v>
      </c>
      <c r="B229" s="1">
        <f>160.79+36.12+83.62+303.28+48.82</f>
        <v>632.63</v>
      </c>
    </row>
    <row r="230" spans="1:2" ht="15.75">
      <c r="A230" s="1"/>
      <c r="B230" s="1"/>
    </row>
    <row r="231" spans="1:3" ht="15.75">
      <c r="A231" s="1" t="s">
        <v>41</v>
      </c>
      <c r="B231" s="1">
        <f>SUM(B227+B229)</f>
        <v>1124.87</v>
      </c>
      <c r="C231" t="s">
        <v>23</v>
      </c>
    </row>
    <row r="232" spans="1:2" ht="15.75">
      <c r="A232" s="3" t="s">
        <v>39</v>
      </c>
      <c r="B232" s="1"/>
    </row>
    <row r="233" spans="1:2" ht="15.75">
      <c r="A233" s="1" t="s">
        <v>6</v>
      </c>
      <c r="B233" s="1">
        <f>SUM(B231)-B235</f>
        <v>349.8699999999999</v>
      </c>
    </row>
    <row r="234" spans="1:2" ht="15.75">
      <c r="A234" s="3" t="s">
        <v>39</v>
      </c>
      <c r="B234" s="1"/>
    </row>
    <row r="235" spans="1:2" ht="15.75">
      <c r="A235" s="1" t="s">
        <v>42</v>
      </c>
      <c r="B235" s="1">
        <v>775</v>
      </c>
    </row>
    <row r="236" ht="12">
      <c r="A236" s="4" t="s">
        <v>39</v>
      </c>
    </row>
    <row r="237" ht="12">
      <c r="A237" s="4" t="s">
        <v>39</v>
      </c>
    </row>
    <row r="238" spans="1:2" ht="15.75">
      <c r="A238" s="1" t="s">
        <v>43</v>
      </c>
      <c r="B238" s="1"/>
    </row>
    <row r="239" spans="1:8" ht="15.75">
      <c r="A239" s="5" t="s">
        <v>44</v>
      </c>
      <c r="B239" s="1"/>
      <c r="C239" s="6" t="s">
        <v>45</v>
      </c>
      <c r="D239" s="6" t="s">
        <v>46</v>
      </c>
      <c r="E239" s="6" t="s">
        <v>47</v>
      </c>
      <c r="F239" s="6" t="s">
        <v>48</v>
      </c>
      <c r="G239" s="6"/>
      <c r="H239" s="6" t="s">
        <v>49</v>
      </c>
    </row>
    <row r="240" spans="1:8" ht="12">
      <c r="A240" t="s">
        <v>50</v>
      </c>
      <c r="C240">
        <v>97.41</v>
      </c>
      <c r="D240">
        <v>48.82</v>
      </c>
      <c r="H240">
        <f>SUM(C240:F240)</f>
        <v>146.23</v>
      </c>
    </row>
    <row r="241" spans="1:8" ht="12">
      <c r="A241" t="s">
        <v>51</v>
      </c>
      <c r="C241">
        <v>150.19</v>
      </c>
      <c r="D241">
        <v>52.39</v>
      </c>
      <c r="E241">
        <v>1.32</v>
      </c>
      <c r="F241">
        <v>64.35</v>
      </c>
      <c r="H241">
        <f>SUM(C241:F241)</f>
        <v>268.25</v>
      </c>
    </row>
    <row r="242" spans="1:8" ht="12">
      <c r="A242" t="s">
        <v>52</v>
      </c>
      <c r="C242">
        <v>9.98</v>
      </c>
      <c r="D242">
        <v>16.53</v>
      </c>
      <c r="F242">
        <v>11.4</v>
      </c>
      <c r="H242">
        <f>SUM(C242:F242)</f>
        <v>37.910000000000004</v>
      </c>
    </row>
    <row r="243" spans="1:8" ht="12">
      <c r="A243" t="s">
        <v>53</v>
      </c>
      <c r="C243">
        <v>0.79</v>
      </c>
      <c r="D243">
        <v>5.23</v>
      </c>
      <c r="F243">
        <f>3.25+17.89+9.83+2.86</f>
        <v>33.83</v>
      </c>
      <c r="H243">
        <f>SUM(C243:F243)</f>
        <v>39.85</v>
      </c>
    </row>
    <row r="244" spans="1:8" ht="12">
      <c r="A244" t="s">
        <v>54</v>
      </c>
      <c r="C244">
        <v>160.79</v>
      </c>
      <c r="D244">
        <v>83.62</v>
      </c>
      <c r="F244">
        <f>36.12+303.28</f>
        <v>339.4</v>
      </c>
      <c r="H244">
        <f>SUM(C244:F244)</f>
        <v>583.81</v>
      </c>
    </row>
    <row r="245" spans="1:8" ht="15.75">
      <c r="A245" s="7" t="s">
        <v>55</v>
      </c>
      <c r="B245" s="1"/>
      <c r="C245" s="1">
        <f>SUM(C240:C244)</f>
        <v>419.15999999999997</v>
      </c>
      <c r="D245" s="1">
        <f>SUM(D240:D244)</f>
        <v>206.59000000000003</v>
      </c>
      <c r="E245" s="1">
        <f>SUM(E240:E244)</f>
        <v>1.32</v>
      </c>
      <c r="F245" s="8">
        <f>SUM(F240:F244)</f>
        <v>448.97999999999996</v>
      </c>
      <c r="G245" s="8"/>
      <c r="H245" s="1">
        <f>SUM(H240:H244)</f>
        <v>1076.05</v>
      </c>
    </row>
    <row r="247" ht="15.75">
      <c r="A247" s="5" t="s">
        <v>56</v>
      </c>
    </row>
    <row r="248" spans="1:8" ht="12">
      <c r="A248" s="9" t="s">
        <v>50</v>
      </c>
      <c r="B248" s="9"/>
      <c r="C248" s="10">
        <v>0</v>
      </c>
      <c r="D248" s="10">
        <v>0</v>
      </c>
      <c r="E248" s="10">
        <v>0</v>
      </c>
      <c r="F248" s="10">
        <f>(F240/B231)*B233</f>
        <v>0</v>
      </c>
      <c r="G248" s="10"/>
      <c r="H248" s="10">
        <f aca="true" t="shared" si="4" ref="H248:H253">SUM(C248:F248)</f>
        <v>0</v>
      </c>
    </row>
    <row r="249" spans="1:8" ht="12">
      <c r="A249" s="9" t="s">
        <v>51</v>
      </c>
      <c r="B249" s="9"/>
      <c r="C249" s="10">
        <v>0</v>
      </c>
      <c r="D249" s="10">
        <v>0</v>
      </c>
      <c r="E249" s="10">
        <v>0</v>
      </c>
      <c r="F249" s="10">
        <v>0</v>
      </c>
      <c r="G249" s="10"/>
      <c r="H249" s="10">
        <f t="shared" si="4"/>
        <v>0</v>
      </c>
    </row>
    <row r="250" spans="1:8" ht="12">
      <c r="A250" s="9" t="s">
        <v>52</v>
      </c>
      <c r="B250" s="9"/>
      <c r="C250" s="10">
        <v>0</v>
      </c>
      <c r="D250" s="10">
        <v>0</v>
      </c>
      <c r="E250" s="10">
        <f>(E242/B231)*B233</f>
        <v>0</v>
      </c>
      <c r="F250" s="10">
        <v>0</v>
      </c>
      <c r="G250" s="10"/>
      <c r="H250" s="10">
        <f t="shared" si="4"/>
        <v>0</v>
      </c>
    </row>
    <row r="251" spans="1:8" ht="12">
      <c r="A251" s="9" t="s">
        <v>53</v>
      </c>
      <c r="B251" s="9"/>
      <c r="C251" s="10">
        <v>0</v>
      </c>
      <c r="D251" s="10">
        <v>0</v>
      </c>
      <c r="E251" s="10">
        <f>(E243/B231)*B233</f>
        <v>0</v>
      </c>
      <c r="F251" s="10">
        <v>0</v>
      </c>
      <c r="G251" s="10"/>
      <c r="H251" s="10">
        <f t="shared" si="4"/>
        <v>0</v>
      </c>
    </row>
    <row r="252" spans="1:8" ht="12">
      <c r="A252" s="9" t="s">
        <v>54</v>
      </c>
      <c r="B252" s="9"/>
      <c r="C252" s="10">
        <v>0</v>
      </c>
      <c r="D252" s="10">
        <v>0</v>
      </c>
      <c r="E252" s="10">
        <f>(E244/B231)*B233</f>
        <v>0</v>
      </c>
      <c r="F252" s="10">
        <v>0</v>
      </c>
      <c r="G252" s="10"/>
      <c r="H252" s="10">
        <f t="shared" si="4"/>
        <v>0</v>
      </c>
    </row>
    <row r="253" spans="1:8" ht="15.75">
      <c r="A253" s="7" t="s">
        <v>55</v>
      </c>
      <c r="B253" s="1"/>
      <c r="C253" s="8">
        <f>SUM(C248:C252)</f>
        <v>0</v>
      </c>
      <c r="D253" s="8">
        <f>SUM(D248:D252)</f>
        <v>0</v>
      </c>
      <c r="E253" s="8">
        <f>SUM(E248:E252)</f>
        <v>0</v>
      </c>
      <c r="F253" s="8">
        <f>SUM(F248:F252)</f>
        <v>0</v>
      </c>
      <c r="G253" s="8"/>
      <c r="H253" s="8">
        <f t="shared" si="4"/>
        <v>0</v>
      </c>
    </row>
    <row r="255" spans="1:8" ht="15.75">
      <c r="A255" s="1" t="s">
        <v>57</v>
      </c>
      <c r="B255" s="5"/>
      <c r="C255" s="6" t="s">
        <v>45</v>
      </c>
      <c r="D255" s="6" t="s">
        <v>46</v>
      </c>
      <c r="E255" s="6" t="s">
        <v>58</v>
      </c>
      <c r="F255" s="6" t="s">
        <v>59</v>
      </c>
      <c r="G255" s="6"/>
      <c r="H255" s="5"/>
    </row>
    <row r="256" spans="1:8" ht="15.75">
      <c r="A256" s="5" t="s">
        <v>44</v>
      </c>
      <c r="B256" s="5"/>
      <c r="C256" s="6" t="s">
        <v>60</v>
      </c>
      <c r="D256" s="6" t="s">
        <v>61</v>
      </c>
      <c r="E256" s="6" t="s">
        <v>62</v>
      </c>
      <c r="F256" s="6" t="s">
        <v>62</v>
      </c>
      <c r="G256" s="6"/>
      <c r="H256" s="6" t="s">
        <v>49</v>
      </c>
    </row>
    <row r="257" spans="1:8" ht="12">
      <c r="A257" s="9" t="s">
        <v>63</v>
      </c>
      <c r="B257" s="9"/>
      <c r="C257" s="11">
        <f>45*(C240+C241)</f>
        <v>11142</v>
      </c>
      <c r="D257" s="11">
        <f>86*(D240+D241)</f>
        <v>8704.060000000001</v>
      </c>
      <c r="E257" s="11">
        <f>(E240+E241)*37.5</f>
        <v>49.5</v>
      </c>
      <c r="F257" s="11">
        <f>SUM(F240+F241)*37.5</f>
        <v>2413.125</v>
      </c>
      <c r="G257" s="11"/>
      <c r="H257" s="11">
        <f>C257+D257+E257+F257</f>
        <v>22308.685</v>
      </c>
    </row>
    <row r="258" spans="1:8" ht="12">
      <c r="A258" s="9" t="s">
        <v>64</v>
      </c>
      <c r="B258" s="9"/>
      <c r="C258" s="11">
        <f>(C242+C243)*45</f>
        <v>484.65</v>
      </c>
      <c r="D258" s="11">
        <f>(D242+D243)*86</f>
        <v>1871.3600000000001</v>
      </c>
      <c r="E258" s="11">
        <f>(E242+E243)*37.5</f>
        <v>0</v>
      </c>
      <c r="F258" s="11">
        <f>SUM(F242+F243)*37.5</f>
        <v>1696.1249999999998</v>
      </c>
      <c r="G258" s="11"/>
      <c r="H258" s="11">
        <f>C258+D258+E258+F258</f>
        <v>4052.135</v>
      </c>
    </row>
    <row r="259" spans="1:8" ht="12">
      <c r="A259" s="9" t="s">
        <v>54</v>
      </c>
      <c r="B259" s="9"/>
      <c r="C259" s="11">
        <f>C244*45</f>
        <v>7235.549999999999</v>
      </c>
      <c r="D259" s="11">
        <f>D244*86</f>
        <v>7191.320000000001</v>
      </c>
      <c r="E259" s="11">
        <f>E244*37.5</f>
        <v>0</v>
      </c>
      <c r="F259" s="11">
        <f>SUM(F244)*37.5</f>
        <v>12727.5</v>
      </c>
      <c r="G259" s="11"/>
      <c r="H259" s="11">
        <f>C259+D259+E259+F259</f>
        <v>27154.37</v>
      </c>
    </row>
    <row r="260" spans="1:8" ht="15.75">
      <c r="A260" s="7" t="s">
        <v>65</v>
      </c>
      <c r="B260" s="1"/>
      <c r="C260" s="2">
        <f>C257+C258+C259</f>
        <v>18862.199999999997</v>
      </c>
      <c r="D260" s="2">
        <f>D257+D258+D259</f>
        <v>17766.74</v>
      </c>
      <c r="E260" s="2">
        <f>E257+E258+E259</f>
        <v>49.5</v>
      </c>
      <c r="F260" s="2">
        <f>F257+F258+F259</f>
        <v>16836.75</v>
      </c>
      <c r="G260" s="2"/>
      <c r="H260" s="2">
        <f>C260+D260+E260+F260</f>
        <v>53515.19</v>
      </c>
    </row>
    <row r="261" spans="1:7" ht="12">
      <c r="A261" s="9"/>
      <c r="B261" s="9"/>
      <c r="C261" s="11"/>
      <c r="D261" s="11"/>
      <c r="E261" s="11"/>
      <c r="F261" s="11"/>
      <c r="G261" s="11"/>
    </row>
    <row r="262" spans="1:7" ht="15.75">
      <c r="A262" s="5" t="s">
        <v>56</v>
      </c>
      <c r="B262" s="9"/>
      <c r="C262" s="11"/>
      <c r="D262" s="11"/>
      <c r="E262" s="11"/>
      <c r="F262" s="11"/>
      <c r="G262" s="11"/>
    </row>
    <row r="263" spans="1:8" ht="12">
      <c r="A263" s="9" t="s">
        <v>63</v>
      </c>
      <c r="B263" s="9"/>
      <c r="C263" s="11">
        <f>SUM(C248+C249)*45</f>
        <v>0</v>
      </c>
      <c r="D263" s="11">
        <f>SUM(D248+D249)*86</f>
        <v>0</v>
      </c>
      <c r="E263" s="11">
        <v>0</v>
      </c>
      <c r="F263" s="11">
        <f>SUM(F248+F249)*37.5</f>
        <v>0</v>
      </c>
      <c r="G263" s="11"/>
      <c r="H263" s="11">
        <f>C263+D263+E263+F263</f>
        <v>0</v>
      </c>
    </row>
    <row r="264" spans="1:8" ht="12">
      <c r="A264" s="9" t="s">
        <v>64</v>
      </c>
      <c r="B264" s="9"/>
      <c r="C264" s="11">
        <f>SUM(C250+C251)*45</f>
        <v>0</v>
      </c>
      <c r="D264" s="11">
        <f>SUM(D250+D251)*86</f>
        <v>0</v>
      </c>
      <c r="E264" s="11">
        <f>SUM(E250+E251)*86</f>
        <v>0</v>
      </c>
      <c r="F264" s="11">
        <f>SUM(F250+F251)*37.5</f>
        <v>0</v>
      </c>
      <c r="G264" s="11"/>
      <c r="H264" s="11">
        <f>C264+D264+E264+F264</f>
        <v>0</v>
      </c>
    </row>
    <row r="265" spans="1:8" ht="12">
      <c r="A265" s="9" t="s">
        <v>54</v>
      </c>
      <c r="B265" s="9"/>
      <c r="C265" s="11">
        <f>SUM(C252)*45</f>
        <v>0</v>
      </c>
      <c r="D265" s="11">
        <f>SUM(D252)*86</f>
        <v>0</v>
      </c>
      <c r="E265" s="11">
        <f>SUM(E252)*86</f>
        <v>0</v>
      </c>
      <c r="F265" s="11">
        <f>SUM(F252)*37.5</f>
        <v>0</v>
      </c>
      <c r="G265" s="11"/>
      <c r="H265" s="11">
        <f>C265+D265+E265+F265</f>
        <v>0</v>
      </c>
    </row>
    <row r="266" spans="1:8" ht="15.75">
      <c r="A266" s="7" t="s">
        <v>65</v>
      </c>
      <c r="B266" s="1"/>
      <c r="C266" s="2">
        <v>0</v>
      </c>
      <c r="D266" s="2">
        <v>0</v>
      </c>
      <c r="E266" s="2">
        <v>0</v>
      </c>
      <c r="F266" s="2">
        <v>0</v>
      </c>
      <c r="G266" s="2"/>
      <c r="H266" s="2">
        <f>C266+D266+E266+F266</f>
        <v>0</v>
      </c>
    </row>
    <row r="269" spans="1:2" ht="15.75">
      <c r="A269" s="1" t="s">
        <v>66</v>
      </c>
      <c r="B269" s="1"/>
    </row>
    <row r="270" spans="1:2" ht="15.75">
      <c r="A270" s="1" t="s">
        <v>67</v>
      </c>
      <c r="B270" s="2">
        <f>SUM(H260)</f>
        <v>53515.19</v>
      </c>
    </row>
    <row r="271" spans="1:2" ht="15.75">
      <c r="A271" s="1"/>
      <c r="B271" s="1"/>
    </row>
    <row r="272" spans="1:2" ht="15.75">
      <c r="A272" s="1" t="s">
        <v>66</v>
      </c>
      <c r="B272" s="1"/>
    </row>
    <row r="273" spans="1:2" ht="15.75">
      <c r="A273" s="1" t="s">
        <v>68</v>
      </c>
      <c r="B273" s="2"/>
    </row>
    <row r="274" spans="1:2" ht="15.75">
      <c r="A274" s="1"/>
      <c r="B274" s="1"/>
    </row>
    <row r="275" spans="1:2" ht="15.75">
      <c r="A275" s="1" t="s">
        <v>69</v>
      </c>
      <c r="B275" s="2">
        <f>SUM(B270+B273)</f>
        <v>53515.19</v>
      </c>
    </row>
    <row r="276" ht="15.75">
      <c r="A276" s="1"/>
    </row>
    <row r="277" spans="1:2" ht="15.75">
      <c r="A277" s="1" t="s">
        <v>70</v>
      </c>
      <c r="B277" s="2">
        <v>43582.89</v>
      </c>
    </row>
    <row r="278" spans="1:2" ht="15.75">
      <c r="A278" s="1" t="s">
        <v>71</v>
      </c>
      <c r="B278" s="2"/>
    </row>
    <row r="279" spans="1:2" ht="15.75">
      <c r="A279" s="1"/>
      <c r="B279" s="2"/>
    </row>
    <row r="280" spans="1:2" ht="15.75">
      <c r="A280" s="1" t="s">
        <v>72</v>
      </c>
      <c r="B280" s="2">
        <f>SUM(B275)-B277</f>
        <v>9932.300000000003</v>
      </c>
    </row>
    <row r="285" spans="1:7" ht="15.75">
      <c r="A285" s="36">
        <v>36831</v>
      </c>
      <c r="B285" s="9"/>
      <c r="C285" s="9"/>
      <c r="D285" s="9"/>
      <c r="E285" s="9"/>
      <c r="F285" s="9"/>
      <c r="G285" s="35"/>
    </row>
    <row r="286" ht="12">
      <c r="A286" s="13"/>
    </row>
    <row r="287" spans="1:2" ht="15.75">
      <c r="A287" s="12" t="s">
        <v>38</v>
      </c>
      <c r="B287" s="1">
        <v>511.79</v>
      </c>
    </row>
    <row r="288" spans="1:2" ht="15.75">
      <c r="A288" s="3" t="s">
        <v>39</v>
      </c>
      <c r="B288" s="1"/>
    </row>
    <row r="289" spans="1:2" ht="15.75">
      <c r="A289" s="1" t="s">
        <v>40</v>
      </c>
      <c r="B289" s="1">
        <f>617.6+46.85</f>
        <v>664.45</v>
      </c>
    </row>
    <row r="290" spans="1:2" ht="15.75">
      <c r="A290" s="1"/>
      <c r="B290" s="1"/>
    </row>
    <row r="291" spans="1:3" ht="15.75">
      <c r="A291" s="1" t="s">
        <v>41</v>
      </c>
      <c r="B291" s="1">
        <f>SUM(B287+B289)</f>
        <v>1176.24</v>
      </c>
      <c r="C291" t="s">
        <v>24</v>
      </c>
    </row>
    <row r="292" spans="1:2" ht="15.75">
      <c r="A292" s="3" t="s">
        <v>39</v>
      </c>
      <c r="B292" s="1"/>
    </row>
    <row r="293" spans="1:2" ht="15.75">
      <c r="A293" s="1" t="s">
        <v>6</v>
      </c>
      <c r="B293" s="1">
        <f>SUM(B291)-B295</f>
        <v>401.24</v>
      </c>
    </row>
    <row r="294" spans="1:2" ht="15.75">
      <c r="A294" s="3" t="s">
        <v>39</v>
      </c>
      <c r="B294" s="1"/>
    </row>
    <row r="295" spans="1:2" ht="15.75">
      <c r="A295" s="1" t="s">
        <v>42</v>
      </c>
      <c r="B295" s="1">
        <v>775</v>
      </c>
    </row>
    <row r="296" ht="12">
      <c r="A296" s="4" t="s">
        <v>39</v>
      </c>
    </row>
    <row r="297" ht="12">
      <c r="A297" s="4" t="s">
        <v>39</v>
      </c>
    </row>
    <row r="298" spans="1:2" ht="15.75">
      <c r="A298" s="1" t="s">
        <v>43</v>
      </c>
      <c r="B298" s="1"/>
    </row>
    <row r="299" spans="1:8" ht="15.75">
      <c r="A299" s="5" t="s">
        <v>44</v>
      </c>
      <c r="B299" s="1"/>
      <c r="C299" s="6" t="s">
        <v>45</v>
      </c>
      <c r="D299" s="6" t="s">
        <v>46</v>
      </c>
      <c r="E299" s="6" t="s">
        <v>47</v>
      </c>
      <c r="F299" s="6" t="s">
        <v>48</v>
      </c>
      <c r="G299" s="6"/>
      <c r="H299" s="6" t="s">
        <v>49</v>
      </c>
    </row>
    <row r="300" spans="1:8" ht="12">
      <c r="A300" t="s">
        <v>50</v>
      </c>
      <c r="C300">
        <f>27.75+71.38</f>
        <v>99.13</v>
      </c>
      <c r="D300">
        <f>11.63+30.6</f>
        <v>42.230000000000004</v>
      </c>
      <c r="F300">
        <v>3.13</v>
      </c>
      <c r="H300">
        <f>SUM(C300:F300)</f>
        <v>144.49</v>
      </c>
    </row>
    <row r="301" spans="1:8" ht="12">
      <c r="A301" t="s">
        <v>51</v>
      </c>
      <c r="C301">
        <f>33.53+116.08+10.79</f>
        <v>160.4</v>
      </c>
      <c r="D301">
        <f>9.64+32.1</f>
        <v>41.74</v>
      </c>
      <c r="F301">
        <f>10.74+38.91</f>
        <v>49.65</v>
      </c>
      <c r="H301">
        <f>SUM(C301:F301)</f>
        <v>251.79000000000002</v>
      </c>
    </row>
    <row r="302" spans="1:8" ht="12">
      <c r="A302" t="s">
        <v>52</v>
      </c>
      <c r="C302">
        <f>7.48</f>
        <v>7.48</v>
      </c>
      <c r="D302">
        <f>5.63+11.79</f>
        <v>17.419999999999998</v>
      </c>
      <c r="F302">
        <f>5.74+3.99+13.77</f>
        <v>23.5</v>
      </c>
      <c r="H302">
        <f>SUM(C302:F302)</f>
        <v>48.4</v>
      </c>
    </row>
    <row r="303" spans="1:8" ht="12">
      <c r="A303" t="s">
        <v>53</v>
      </c>
      <c r="C303">
        <f>0.97+8.44</f>
        <v>9.41</v>
      </c>
      <c r="D303">
        <v>7.2</v>
      </c>
      <c r="F303">
        <f>4.79+4.07+10.59+5.13+9.15+0.33+16.44</f>
        <v>50.5</v>
      </c>
      <c r="H303">
        <f>SUM(C303:F303)</f>
        <v>67.11</v>
      </c>
    </row>
    <row r="304" spans="1:8" ht="12">
      <c r="A304" t="s">
        <v>54</v>
      </c>
      <c r="C304">
        <f>18.48+60.61+6.85+9.97+0.35+0.77+0.87+0.27+3.9+2.82+2.51+1.67+7.88+1.93+14.42+3.12+8.6+0.43+8.38+3.4+7.41+6.41</f>
        <v>171.04999999999998</v>
      </c>
      <c r="D304">
        <f>6.78+23.37+2.74+5.53+0.39+0.26+1.28+0.03+4.88+1.56+2.41+0.38+1.96+0.87+6.47+0.93+2.63+0.26+0.19+2.35+2.38+0.3+0.89+3.38</f>
        <v>72.21999999999998</v>
      </c>
      <c r="F304">
        <f>1.86+1.03+25+77.61+6.48+22.12+0.39+0.28+4.94+20.19+1.72+5.15+0.25+1.14+0.43+10.02+24.47+2.12+0.63+1.09+15.69+34.84+5.24+7.98+16.71+37.78+0.06+12.46+0.15+1.76+1.69+33.05</f>
        <v>374.3299999999999</v>
      </c>
      <c r="H304">
        <f>SUM(C304:F304)</f>
        <v>617.5999999999999</v>
      </c>
    </row>
    <row r="305" spans="1:8" ht="15.75">
      <c r="A305" s="7" t="s">
        <v>55</v>
      </c>
      <c r="B305" s="1"/>
      <c r="C305" s="1">
        <f>SUM(C300:C304)</f>
        <v>447.47</v>
      </c>
      <c r="D305" s="1">
        <f>SUM(D300:D304)</f>
        <v>180.81</v>
      </c>
      <c r="E305" s="1">
        <f>SUM(E300:E304)</f>
        <v>0</v>
      </c>
      <c r="F305" s="8">
        <f>SUM(F300:F304)</f>
        <v>501.1099999999999</v>
      </c>
      <c r="G305" s="8"/>
      <c r="H305" s="1">
        <f>SUM(H300:H304)</f>
        <v>1129.3899999999999</v>
      </c>
    </row>
    <row r="306" ht="12">
      <c r="F306" s="62"/>
    </row>
    <row r="307" spans="1:7" ht="15.75">
      <c r="A307" s="5" t="s">
        <v>56</v>
      </c>
      <c r="G307" s="62"/>
    </row>
    <row r="308" spans="1:8" ht="12">
      <c r="A308" s="9" t="s">
        <v>50</v>
      </c>
      <c r="B308" s="9"/>
      <c r="C308" s="10">
        <v>0</v>
      </c>
      <c r="D308" s="10">
        <v>0</v>
      </c>
      <c r="E308" s="10">
        <v>0</v>
      </c>
      <c r="F308" s="10">
        <f>(F300/B291)*B293</f>
        <v>1.0677082908250017</v>
      </c>
      <c r="G308" s="10"/>
      <c r="H308" s="10">
        <f aca="true" t="shared" si="5" ref="H308:H313">SUM(C308:F308)</f>
        <v>1.0677082908250017</v>
      </c>
    </row>
    <row r="309" spans="1:8" ht="12">
      <c r="A309" s="9" t="s">
        <v>51</v>
      </c>
      <c r="B309" s="9"/>
      <c r="C309" s="10">
        <v>0</v>
      </c>
      <c r="D309" s="10">
        <v>0</v>
      </c>
      <c r="E309" s="10">
        <v>0</v>
      </c>
      <c r="F309" s="10">
        <v>0</v>
      </c>
      <c r="G309" s="10"/>
      <c r="H309" s="10">
        <f t="shared" si="5"/>
        <v>0</v>
      </c>
    </row>
    <row r="310" spans="1:8" ht="12">
      <c r="A310" s="9" t="s">
        <v>52</v>
      </c>
      <c r="B310" s="9"/>
      <c r="C310" s="10">
        <v>0</v>
      </c>
      <c r="D310" s="10">
        <v>0</v>
      </c>
      <c r="E310" s="10">
        <f>(E302/B291)*B293</f>
        <v>0</v>
      </c>
      <c r="F310" s="10">
        <v>0</v>
      </c>
      <c r="G310" s="10"/>
      <c r="H310" s="10">
        <f t="shared" si="5"/>
        <v>0</v>
      </c>
    </row>
    <row r="311" spans="1:8" ht="12">
      <c r="A311" s="9" t="s">
        <v>53</v>
      </c>
      <c r="B311" s="9"/>
      <c r="C311" s="10">
        <v>0</v>
      </c>
      <c r="D311" s="10">
        <v>0</v>
      </c>
      <c r="E311" s="10">
        <f>(E303/B291)*B293</f>
        <v>0</v>
      </c>
      <c r="F311" s="10">
        <v>0</v>
      </c>
      <c r="G311" s="10"/>
      <c r="H311" s="10">
        <f t="shared" si="5"/>
        <v>0</v>
      </c>
    </row>
    <row r="312" spans="1:8" ht="12">
      <c r="A312" s="9" t="s">
        <v>54</v>
      </c>
      <c r="B312" s="9"/>
      <c r="C312" s="10">
        <v>0</v>
      </c>
      <c r="D312" s="10">
        <v>0</v>
      </c>
      <c r="E312" s="10">
        <f>(E304/B291)*B293</f>
        <v>0</v>
      </c>
      <c r="F312" s="10">
        <v>0</v>
      </c>
      <c r="G312" s="10"/>
      <c r="H312" s="10">
        <f t="shared" si="5"/>
        <v>0</v>
      </c>
    </row>
    <row r="313" spans="1:8" ht="15.75">
      <c r="A313" s="7" t="s">
        <v>55</v>
      </c>
      <c r="B313" s="1"/>
      <c r="C313" s="8">
        <f>SUM(C308:C312)</f>
        <v>0</v>
      </c>
      <c r="D313" s="8">
        <f>SUM(D308:D312)</f>
        <v>0</v>
      </c>
      <c r="E313" s="8">
        <f>SUM(E308:E312)</f>
        <v>0</v>
      </c>
      <c r="F313" s="8">
        <f>SUM(F308:F312)</f>
        <v>1.0677082908250017</v>
      </c>
      <c r="G313" s="8"/>
      <c r="H313" s="8">
        <f t="shared" si="5"/>
        <v>1.0677082908250017</v>
      </c>
    </row>
    <row r="315" spans="1:8" ht="15.75">
      <c r="A315" s="1" t="s">
        <v>57</v>
      </c>
      <c r="B315" s="5"/>
      <c r="C315" s="6" t="s">
        <v>45</v>
      </c>
      <c r="D315" s="6" t="s">
        <v>46</v>
      </c>
      <c r="E315" s="6" t="s">
        <v>58</v>
      </c>
      <c r="F315" s="6" t="s">
        <v>59</v>
      </c>
      <c r="G315" s="6"/>
      <c r="H315" s="5"/>
    </row>
    <row r="316" spans="1:8" ht="15.75">
      <c r="A316" s="5" t="s">
        <v>44</v>
      </c>
      <c r="B316" s="5"/>
      <c r="C316" s="6" t="s">
        <v>60</v>
      </c>
      <c r="D316" s="6" t="s">
        <v>61</v>
      </c>
      <c r="E316" s="6" t="s">
        <v>62</v>
      </c>
      <c r="F316" s="6" t="s">
        <v>62</v>
      </c>
      <c r="G316" s="6"/>
      <c r="H316" s="6" t="s">
        <v>49</v>
      </c>
    </row>
    <row r="317" spans="1:8" ht="12">
      <c r="A317" s="9" t="s">
        <v>63</v>
      </c>
      <c r="B317" s="9"/>
      <c r="C317" s="11">
        <f>45*(C300+C301)</f>
        <v>11678.849999999999</v>
      </c>
      <c r="D317" s="11">
        <f>86*(D300+D301)</f>
        <v>7221.42</v>
      </c>
      <c r="E317" s="11">
        <f>(E300+E301)*37.5</f>
        <v>0</v>
      </c>
      <c r="F317" s="11">
        <f>SUM(F300+F301)*37.5</f>
        <v>1979.25</v>
      </c>
      <c r="G317" s="11"/>
      <c r="H317" s="11">
        <f>C317+D317+E317+F317</f>
        <v>20879.519999999997</v>
      </c>
    </row>
    <row r="318" spans="1:8" ht="12">
      <c r="A318" s="9" t="s">
        <v>64</v>
      </c>
      <c r="B318" s="9"/>
      <c r="C318" s="11">
        <f>(C302+C303)*45</f>
        <v>760.0500000000001</v>
      </c>
      <c r="D318" s="11">
        <f>(D302+D303)*86</f>
        <v>2117.3199999999997</v>
      </c>
      <c r="E318" s="11">
        <f>(E302+E303)*37.5</f>
        <v>0</v>
      </c>
      <c r="F318" s="11">
        <f>SUM(F302+F303)*37.5</f>
        <v>2775</v>
      </c>
      <c r="G318" s="11"/>
      <c r="H318" s="11">
        <f>C318+D318+E318+F318</f>
        <v>5652.37</v>
      </c>
    </row>
    <row r="319" spans="1:8" ht="12">
      <c r="A319" s="9" t="s">
        <v>54</v>
      </c>
      <c r="B319" s="9"/>
      <c r="C319" s="11">
        <f>C304*45</f>
        <v>7697.249999999999</v>
      </c>
      <c r="D319" s="11">
        <f>D304*86</f>
        <v>6210.919999999998</v>
      </c>
      <c r="E319" s="11">
        <f>E304*37.5</f>
        <v>0</v>
      </c>
      <c r="F319" s="11">
        <f>SUM(F304)*37.5</f>
        <v>14037.374999999996</v>
      </c>
      <c r="G319" s="11"/>
      <c r="H319" s="11">
        <f>C319+D319+E319+F319</f>
        <v>27945.544999999995</v>
      </c>
    </row>
    <row r="320" spans="1:8" ht="15.75">
      <c r="A320" s="7" t="s">
        <v>65</v>
      </c>
      <c r="B320" s="1"/>
      <c r="C320" s="2">
        <f>C317+C318+C319</f>
        <v>20136.149999999998</v>
      </c>
      <c r="D320" s="2">
        <f>D317+D318+D319</f>
        <v>15549.659999999998</v>
      </c>
      <c r="E320" s="2">
        <f>E317+E318+E319</f>
        <v>0</v>
      </c>
      <c r="F320" s="2">
        <f>F317+F318+F319</f>
        <v>18791.624999999996</v>
      </c>
      <c r="G320" s="2"/>
      <c r="H320" s="2">
        <f>C320+D320+E320+F320</f>
        <v>54477.435</v>
      </c>
    </row>
    <row r="321" spans="1:7" ht="12">
      <c r="A321" s="9"/>
      <c r="B321" s="9"/>
      <c r="C321" s="11"/>
      <c r="D321" s="11"/>
      <c r="E321" s="11"/>
      <c r="F321" s="11"/>
      <c r="G321" s="11"/>
    </row>
    <row r="322" spans="1:7" ht="15.75">
      <c r="A322" s="5" t="s">
        <v>56</v>
      </c>
      <c r="B322" s="9"/>
      <c r="C322" s="11"/>
      <c r="D322" s="11"/>
      <c r="E322" s="11"/>
      <c r="F322" s="11"/>
      <c r="G322" s="11"/>
    </row>
    <row r="323" spans="1:8" ht="12">
      <c r="A323" s="9" t="s">
        <v>63</v>
      </c>
      <c r="B323" s="9"/>
      <c r="C323" s="11">
        <f>SUM(C308+C309)*45</f>
        <v>0</v>
      </c>
      <c r="D323" s="11">
        <f>SUM(D308+D309)*86</f>
        <v>0</v>
      </c>
      <c r="E323" s="11">
        <v>0</v>
      </c>
      <c r="F323" s="11">
        <f>SUM(F308+F309)*37.5</f>
        <v>40.03906090593757</v>
      </c>
      <c r="G323" s="11"/>
      <c r="H323" s="11">
        <f>C323+D323+E323+F323</f>
        <v>40.03906090593757</v>
      </c>
    </row>
    <row r="324" spans="1:8" ht="12">
      <c r="A324" s="9" t="s">
        <v>64</v>
      </c>
      <c r="B324" s="9"/>
      <c r="C324" s="11">
        <f>SUM(C310+C311)*45</f>
        <v>0</v>
      </c>
      <c r="D324" s="11">
        <f>SUM(D310+D311)*86</f>
        <v>0</v>
      </c>
      <c r="E324" s="11">
        <f>SUM(E310+E311)*86</f>
        <v>0</v>
      </c>
      <c r="F324" s="11">
        <f>SUM(F310+F311)*37.5</f>
        <v>0</v>
      </c>
      <c r="G324" s="11"/>
      <c r="H324" s="11">
        <f>C324+D324+E324+F324</f>
        <v>0</v>
      </c>
    </row>
    <row r="325" spans="1:8" ht="12">
      <c r="A325" s="9" t="s">
        <v>54</v>
      </c>
      <c r="B325" s="9"/>
      <c r="C325" s="11">
        <f>SUM(C312)*45</f>
        <v>0</v>
      </c>
      <c r="D325" s="11">
        <f>SUM(D312)*86</f>
        <v>0</v>
      </c>
      <c r="E325" s="11">
        <f>SUM(E312)*86</f>
        <v>0</v>
      </c>
      <c r="F325" s="11">
        <f>SUM(F312)*37.5</f>
        <v>0</v>
      </c>
      <c r="G325" s="11"/>
      <c r="H325" s="11">
        <f>C325+D325+E325+F325</f>
        <v>0</v>
      </c>
    </row>
    <row r="326" spans="1:8" ht="15.75">
      <c r="A326" s="7" t="s">
        <v>65</v>
      </c>
      <c r="B326" s="1"/>
      <c r="C326" s="2">
        <v>0</v>
      </c>
      <c r="D326" s="2">
        <v>0</v>
      </c>
      <c r="E326" s="2">
        <v>0</v>
      </c>
      <c r="F326" s="2">
        <v>0</v>
      </c>
      <c r="G326" s="2"/>
      <c r="H326" s="2">
        <f>C326+D326+E326+F326</f>
        <v>0</v>
      </c>
    </row>
    <row r="329" spans="1:2" ht="15.75">
      <c r="A329" s="1" t="s">
        <v>66</v>
      </c>
      <c r="B329" s="1"/>
    </row>
    <row r="330" spans="1:2" ht="15.75">
      <c r="A330" s="1" t="s">
        <v>67</v>
      </c>
      <c r="B330" s="2">
        <f>SUM(H320)</f>
        <v>54477.435</v>
      </c>
    </row>
    <row r="331" spans="1:2" ht="15.75">
      <c r="A331" s="1"/>
      <c r="B331" s="1"/>
    </row>
    <row r="332" spans="1:2" ht="15.75">
      <c r="A332" s="1" t="s">
        <v>66</v>
      </c>
      <c r="B332" s="1"/>
    </row>
    <row r="333" spans="1:2" ht="15.75">
      <c r="A333" s="1" t="s">
        <v>68</v>
      </c>
      <c r="B333" s="2">
        <f>H326</f>
        <v>0</v>
      </c>
    </row>
    <row r="334" spans="1:2" ht="15.75">
      <c r="A334" s="1"/>
      <c r="B334" s="1"/>
    </row>
    <row r="335" spans="1:2" ht="15.75">
      <c r="A335" s="1" t="s">
        <v>69</v>
      </c>
      <c r="B335" s="2">
        <f>SUM(B330+B333)</f>
        <v>54477.435</v>
      </c>
    </row>
    <row r="336" ht="15.75">
      <c r="A336" s="1"/>
    </row>
    <row r="337" spans="1:2" ht="15.75">
      <c r="A337" s="1" t="s">
        <v>70</v>
      </c>
      <c r="B337" s="2"/>
    </row>
    <row r="338" spans="1:2" ht="15.75">
      <c r="A338" s="1" t="s">
        <v>71</v>
      </c>
      <c r="B338" s="2">
        <v>36982.38</v>
      </c>
    </row>
    <row r="339" spans="1:2" ht="15.75">
      <c r="A339" s="1"/>
      <c r="B339" s="2"/>
    </row>
    <row r="340" spans="1:2" ht="15.75">
      <c r="A340" s="1" t="s">
        <v>72</v>
      </c>
      <c r="B340" s="2">
        <f>SUM(B335-B338)</f>
        <v>17495.055</v>
      </c>
    </row>
    <row r="344" spans="1:7" ht="15.75">
      <c r="A344" s="36">
        <v>36861</v>
      </c>
      <c r="B344" s="9"/>
      <c r="C344" s="9"/>
      <c r="D344" s="9"/>
      <c r="E344" s="9"/>
      <c r="F344" s="9"/>
      <c r="G344" s="35"/>
    </row>
    <row r="345" ht="12">
      <c r="A345" s="13"/>
    </row>
    <row r="346" spans="1:2" ht="15.75">
      <c r="A346" s="12" t="s">
        <v>38</v>
      </c>
      <c r="B346" s="1">
        <f>SUM(C359+C360+C361+C362+D359+D360+D361+D362+F360+F361+F362)</f>
        <v>472.46</v>
      </c>
    </row>
    <row r="347" spans="1:2" ht="15.75">
      <c r="A347" s="3" t="s">
        <v>39</v>
      </c>
      <c r="B347" s="1"/>
    </row>
    <row r="348" spans="1:2" ht="15.75">
      <c r="A348" s="1" t="s">
        <v>40</v>
      </c>
      <c r="B348" s="1">
        <f>SUM(C363+D363+F363)</f>
        <v>516.71</v>
      </c>
    </row>
    <row r="349" spans="1:2" ht="15.75">
      <c r="A349" s="1"/>
      <c r="B349" s="1"/>
    </row>
    <row r="350" spans="1:3" ht="15.75">
      <c r="A350" s="1" t="s">
        <v>41</v>
      </c>
      <c r="B350" s="1">
        <f>SUM(B346+B348)+33.18</f>
        <v>1022.35</v>
      </c>
      <c r="C350" t="s">
        <v>29</v>
      </c>
    </row>
    <row r="351" spans="1:2" ht="15.75">
      <c r="A351" s="3" t="s">
        <v>39</v>
      </c>
      <c r="B351" s="1"/>
    </row>
    <row r="352" spans="1:2" ht="15.75">
      <c r="A352" s="1" t="s">
        <v>6</v>
      </c>
      <c r="B352" s="1">
        <f>SUM(B350)-B354</f>
        <v>247.35000000000002</v>
      </c>
    </row>
    <row r="353" spans="1:2" ht="15.75">
      <c r="A353" s="3" t="s">
        <v>39</v>
      </c>
      <c r="B353" s="1"/>
    </row>
    <row r="354" spans="1:2" ht="15.75">
      <c r="A354" s="1" t="s">
        <v>42</v>
      </c>
      <c r="B354" s="1">
        <v>775</v>
      </c>
    </row>
    <row r="355" ht="12">
      <c r="A355" s="4" t="s">
        <v>39</v>
      </c>
    </row>
    <row r="356" ht="12">
      <c r="A356" s="4" t="s">
        <v>39</v>
      </c>
    </row>
    <row r="357" spans="1:2" ht="15.75">
      <c r="A357" s="1" t="s">
        <v>43</v>
      </c>
      <c r="B357" s="1"/>
    </row>
    <row r="358" spans="1:8" ht="15.75">
      <c r="A358" s="5" t="s">
        <v>44</v>
      </c>
      <c r="B358" s="1"/>
      <c r="C358" s="6" t="s">
        <v>45</v>
      </c>
      <c r="D358" s="6" t="s">
        <v>46</v>
      </c>
      <c r="E358" s="6" t="s">
        <v>47</v>
      </c>
      <c r="F358" s="6" t="s">
        <v>48</v>
      </c>
      <c r="G358" s="6"/>
      <c r="H358" s="6" t="s">
        <v>49</v>
      </c>
    </row>
    <row r="359" spans="1:8" ht="12">
      <c r="A359" t="s">
        <v>50</v>
      </c>
      <c r="C359">
        <v>89.53</v>
      </c>
      <c r="D359">
        <v>39.73</v>
      </c>
      <c r="H359">
        <f>SUM(C359:F359)</f>
        <v>129.26</v>
      </c>
    </row>
    <row r="360" spans="1:8" ht="12">
      <c r="A360" t="s">
        <v>51</v>
      </c>
      <c r="C360">
        <v>136.03</v>
      </c>
      <c r="D360">
        <v>40.65</v>
      </c>
      <c r="F360">
        <v>56.01</v>
      </c>
      <c r="H360">
        <f>SUM(C360:F360)</f>
        <v>232.69</v>
      </c>
    </row>
    <row r="361" spans="1:8" ht="12">
      <c r="A361" t="s">
        <v>52</v>
      </c>
      <c r="C361">
        <v>3.28</v>
      </c>
      <c r="D361">
        <v>25.23</v>
      </c>
      <c r="F361">
        <v>19.01</v>
      </c>
      <c r="H361">
        <f>SUM(C361:F361)</f>
        <v>47.52</v>
      </c>
    </row>
    <row r="362" spans="1:8" ht="12">
      <c r="A362" t="s">
        <v>53</v>
      </c>
      <c r="C362">
        <f>8.1+0.48+0.84</f>
        <v>9.42</v>
      </c>
      <c r="D362">
        <v>4.75</v>
      </c>
      <c r="F362">
        <f>18.22+17.69+3.6+9.31</f>
        <v>48.82</v>
      </c>
      <c r="H362">
        <f>SUM(C362:F362)</f>
        <v>62.99</v>
      </c>
    </row>
    <row r="363" spans="1:8" ht="12">
      <c r="A363" t="s">
        <v>54</v>
      </c>
      <c r="C363">
        <v>127.05</v>
      </c>
      <c r="D363">
        <v>59.3</v>
      </c>
      <c r="F363">
        <f>20.28+310.08</f>
        <v>330.36</v>
      </c>
      <c r="G363" t="s">
        <v>27</v>
      </c>
      <c r="H363">
        <f>SUM(C363:F363)</f>
        <v>516.71</v>
      </c>
    </row>
    <row r="364" spans="1:8" ht="15.75">
      <c r="A364" s="7" t="s">
        <v>55</v>
      </c>
      <c r="B364" s="1"/>
      <c r="C364" s="1">
        <f>SUM(C359:C363)</f>
        <v>365.31</v>
      </c>
      <c r="D364" s="1">
        <f>SUM(D359:D363)</f>
        <v>169.66</v>
      </c>
      <c r="E364" s="1">
        <f>SUM(E359:E363)</f>
        <v>0</v>
      </c>
      <c r="F364" s="8">
        <f>SUM(F359:F363)</f>
        <v>454.20000000000005</v>
      </c>
      <c r="G364" s="8"/>
      <c r="H364" s="1">
        <f>SUM(H359:H363)</f>
        <v>989.1700000000001</v>
      </c>
    </row>
    <row r="365" ht="12">
      <c r="G365" t="s">
        <v>28</v>
      </c>
    </row>
    <row r="366" ht="15.75">
      <c r="A366" s="5" t="s">
        <v>56</v>
      </c>
    </row>
    <row r="367" spans="1:8" ht="12">
      <c r="A367" s="9" t="s">
        <v>50</v>
      </c>
      <c r="B367" s="9"/>
      <c r="C367" s="10">
        <v>0</v>
      </c>
      <c r="D367" s="10">
        <v>0</v>
      </c>
      <c r="E367" s="10">
        <v>0</v>
      </c>
      <c r="F367" s="10">
        <v>0</v>
      </c>
      <c r="G367" s="10"/>
      <c r="H367" s="10">
        <f aca="true" t="shared" si="6" ref="H367:H372">SUM(C367:F367)</f>
        <v>0</v>
      </c>
    </row>
    <row r="368" spans="1:8" ht="12">
      <c r="A368" s="9" t="s">
        <v>51</v>
      </c>
      <c r="B368" s="9"/>
      <c r="C368" s="10">
        <v>0</v>
      </c>
      <c r="D368" s="10">
        <v>0</v>
      </c>
      <c r="E368" s="10">
        <v>0</v>
      </c>
      <c r="F368" s="10">
        <v>0</v>
      </c>
      <c r="G368" s="10"/>
      <c r="H368" s="10">
        <f t="shared" si="6"/>
        <v>0</v>
      </c>
    </row>
    <row r="369" spans="1:8" ht="12">
      <c r="A369" s="9" t="s">
        <v>52</v>
      </c>
      <c r="B369" s="9"/>
      <c r="C369" s="10">
        <v>0</v>
      </c>
      <c r="D369" s="10">
        <v>0</v>
      </c>
      <c r="E369" s="10">
        <v>0</v>
      </c>
      <c r="F369" s="10">
        <v>0</v>
      </c>
      <c r="G369" s="10"/>
      <c r="H369" s="10">
        <f t="shared" si="6"/>
        <v>0</v>
      </c>
    </row>
    <row r="370" spans="1:8" ht="12">
      <c r="A370" s="9" t="s">
        <v>53</v>
      </c>
      <c r="B370" s="9"/>
      <c r="C370" s="10">
        <v>0</v>
      </c>
      <c r="D370" s="10">
        <v>0</v>
      </c>
      <c r="E370" s="10">
        <v>0</v>
      </c>
      <c r="F370" s="10">
        <v>0</v>
      </c>
      <c r="G370" s="10"/>
      <c r="H370" s="10">
        <f t="shared" si="6"/>
        <v>0</v>
      </c>
    </row>
    <row r="371" spans="1:8" ht="12">
      <c r="A371" s="9" t="s">
        <v>54</v>
      </c>
      <c r="B371" s="9"/>
      <c r="C371" s="10">
        <v>0</v>
      </c>
      <c r="D371" s="10">
        <v>0</v>
      </c>
      <c r="E371" s="10">
        <v>0</v>
      </c>
      <c r="F371" s="10">
        <v>0</v>
      </c>
      <c r="G371" s="10"/>
      <c r="H371" s="10">
        <f t="shared" si="6"/>
        <v>0</v>
      </c>
    </row>
    <row r="372" spans="1:8" ht="15.75">
      <c r="A372" s="7" t="s">
        <v>55</v>
      </c>
      <c r="B372" s="1"/>
      <c r="C372" s="8">
        <f>SUM(C367:C371)</f>
        <v>0</v>
      </c>
      <c r="D372" s="8">
        <f>SUM(D367:D371)</f>
        <v>0</v>
      </c>
      <c r="E372" s="8">
        <v>0</v>
      </c>
      <c r="F372" s="8">
        <f>SUM(F367:F371)</f>
        <v>0</v>
      </c>
      <c r="G372" s="8"/>
      <c r="H372" s="8">
        <f t="shared" si="6"/>
        <v>0</v>
      </c>
    </row>
    <row r="374" spans="1:8" ht="15.75">
      <c r="A374" s="1" t="s">
        <v>57</v>
      </c>
      <c r="B374" s="5"/>
      <c r="C374" s="6" t="s">
        <v>45</v>
      </c>
      <c r="D374" s="6" t="s">
        <v>46</v>
      </c>
      <c r="E374" s="6" t="s">
        <v>58</v>
      </c>
      <c r="F374" s="6" t="s">
        <v>59</v>
      </c>
      <c r="G374" s="6"/>
      <c r="H374" s="5"/>
    </row>
    <row r="375" spans="1:8" ht="15.75">
      <c r="A375" s="5" t="s">
        <v>44</v>
      </c>
      <c r="B375" s="5"/>
      <c r="C375" s="6" t="s">
        <v>60</v>
      </c>
      <c r="D375" s="6" t="s">
        <v>61</v>
      </c>
      <c r="E375" s="6" t="s">
        <v>62</v>
      </c>
      <c r="F375" s="6" t="s">
        <v>62</v>
      </c>
      <c r="G375" s="6"/>
      <c r="H375" s="6" t="s">
        <v>49</v>
      </c>
    </row>
    <row r="376" spans="1:8" ht="12">
      <c r="A376" s="9" t="s">
        <v>63</v>
      </c>
      <c r="B376" s="9"/>
      <c r="C376" s="11">
        <f>45*(C359+C360)</f>
        <v>10150.2</v>
      </c>
      <c r="D376" s="11">
        <f>86*(D359+D360)</f>
        <v>6912.679999999999</v>
      </c>
      <c r="E376" s="11">
        <f>(E359+E360)*37.5</f>
        <v>0</v>
      </c>
      <c r="F376" s="11">
        <f>SUM(F359+F360)*37.5</f>
        <v>2100.375</v>
      </c>
      <c r="G376" s="11"/>
      <c r="H376" s="11">
        <f>C376+D376+E376+F376</f>
        <v>19163.255</v>
      </c>
    </row>
    <row r="377" spans="1:8" ht="12">
      <c r="A377" s="9" t="s">
        <v>64</v>
      </c>
      <c r="B377" s="9"/>
      <c r="C377" s="11">
        <f>(C361+C362)*45</f>
        <v>571.5</v>
      </c>
      <c r="D377" s="11">
        <f>(D361+D362)*86</f>
        <v>2578.28</v>
      </c>
      <c r="E377" s="11">
        <f>(E361+E362)*37.5</f>
        <v>0</v>
      </c>
      <c r="F377" s="11">
        <f>SUM(F361+F362)*37.5</f>
        <v>2543.625</v>
      </c>
      <c r="G377" s="11"/>
      <c r="H377" s="11">
        <f>C377+D377+E377+F377</f>
        <v>5693.405000000001</v>
      </c>
    </row>
    <row r="378" spans="1:8" ht="12">
      <c r="A378" s="9" t="s">
        <v>54</v>
      </c>
      <c r="B378" s="9"/>
      <c r="C378" s="11">
        <f>C363*45</f>
        <v>5717.25</v>
      </c>
      <c r="D378" s="11">
        <f>D363*86</f>
        <v>5099.8</v>
      </c>
      <c r="E378" s="11">
        <f>E363*37.5</f>
        <v>0</v>
      </c>
      <c r="F378" s="11">
        <f>SUM(F363)*37.5</f>
        <v>12388.5</v>
      </c>
      <c r="G378" s="11"/>
      <c r="H378" s="11">
        <f>C378+D378+E378+F378</f>
        <v>23205.55</v>
      </c>
    </row>
    <row r="379" spans="1:8" ht="15.75">
      <c r="A379" s="7" t="s">
        <v>65</v>
      </c>
      <c r="B379" s="1"/>
      <c r="C379" s="2">
        <f>C376+C377+C378</f>
        <v>16438.95</v>
      </c>
      <c r="D379" s="2">
        <f>D376+D377+D378</f>
        <v>14590.759999999998</v>
      </c>
      <c r="E379" s="2">
        <f>E376+E377+E378</f>
        <v>0</v>
      </c>
      <c r="F379" s="2">
        <f>F376+F377+F378</f>
        <v>17032.5</v>
      </c>
      <c r="G379" s="2"/>
      <c r="H379" s="2">
        <f>C379+D379+E379+F379</f>
        <v>48062.21</v>
      </c>
    </row>
    <row r="380" spans="1:7" ht="12">
      <c r="A380" s="9"/>
      <c r="B380" s="9"/>
      <c r="C380" s="11"/>
      <c r="D380" s="11"/>
      <c r="E380" s="11"/>
      <c r="F380" s="11"/>
      <c r="G380" s="11"/>
    </row>
    <row r="381" spans="1:7" ht="15.75">
      <c r="A381" s="5" t="s">
        <v>56</v>
      </c>
      <c r="B381" s="9"/>
      <c r="C381" s="11"/>
      <c r="D381" s="11"/>
      <c r="E381" s="11"/>
      <c r="F381" s="11"/>
      <c r="G381" s="11"/>
    </row>
    <row r="382" spans="1:8" ht="12">
      <c r="A382" s="9" t="s">
        <v>63</v>
      </c>
      <c r="B382" s="9"/>
      <c r="C382" s="11">
        <f>SUM(C367+C368)*45</f>
        <v>0</v>
      </c>
      <c r="D382" s="11">
        <f>SUM(D367+D368)*86</f>
        <v>0</v>
      </c>
      <c r="E382" s="11">
        <v>0</v>
      </c>
      <c r="F382" s="11">
        <f>SUM(F367+F368)*37.5</f>
        <v>0</v>
      </c>
      <c r="G382" s="11"/>
      <c r="H382" s="11">
        <f>C382+D382+E382+F382</f>
        <v>0</v>
      </c>
    </row>
    <row r="383" spans="1:8" ht="12">
      <c r="A383" s="9" t="s">
        <v>64</v>
      </c>
      <c r="B383" s="9"/>
      <c r="C383" s="11">
        <f>SUM(C369+C370)*45</f>
        <v>0</v>
      </c>
      <c r="D383" s="11">
        <f>SUM(D369+D370)*86</f>
        <v>0</v>
      </c>
      <c r="E383" s="11">
        <f>SUM(E369+E370)*86</f>
        <v>0</v>
      </c>
      <c r="F383" s="11">
        <f>SUM(F369+F370)*37.5</f>
        <v>0</v>
      </c>
      <c r="G383" s="11"/>
      <c r="H383" s="11">
        <f>C383+D383+E383+F383</f>
        <v>0</v>
      </c>
    </row>
    <row r="384" spans="1:8" ht="12">
      <c r="A384" s="9" t="s">
        <v>54</v>
      </c>
      <c r="B384" s="9"/>
      <c r="C384" s="11">
        <f>SUM(C371)*45</f>
        <v>0</v>
      </c>
      <c r="D384" s="11">
        <f>SUM(D371)*86</f>
        <v>0</v>
      </c>
      <c r="E384" s="11">
        <f>SUM(E371)*86</f>
        <v>0</v>
      </c>
      <c r="F384" s="11">
        <f>SUM(F371)*37.5</f>
        <v>0</v>
      </c>
      <c r="G384" s="11"/>
      <c r="H384" s="11">
        <f>C384+D384+E384+F384</f>
        <v>0</v>
      </c>
    </row>
    <row r="385" spans="1:8" ht="15.75">
      <c r="A385" s="7" t="s">
        <v>65</v>
      </c>
      <c r="B385" s="1"/>
      <c r="C385" s="2">
        <v>0</v>
      </c>
      <c r="D385" s="2">
        <v>0</v>
      </c>
      <c r="E385" s="2">
        <v>0</v>
      </c>
      <c r="F385" s="2">
        <v>0</v>
      </c>
      <c r="G385" s="2"/>
      <c r="H385" s="2">
        <f>C385+D385+E385+F385</f>
        <v>0</v>
      </c>
    </row>
    <row r="388" spans="1:2" ht="15.75">
      <c r="A388" s="1" t="s">
        <v>66</v>
      </c>
      <c r="B388" s="1"/>
    </row>
    <row r="389" spans="1:2" ht="15.75">
      <c r="A389" s="1" t="s">
        <v>67</v>
      </c>
      <c r="B389" s="2">
        <f>SUM(H379)</f>
        <v>48062.21</v>
      </c>
    </row>
    <row r="390" spans="1:2" ht="15.75">
      <c r="A390" s="1"/>
      <c r="B390" s="1"/>
    </row>
    <row r="391" spans="1:2" ht="15.75">
      <c r="A391" s="1" t="s">
        <v>66</v>
      </c>
      <c r="B391" s="1"/>
    </row>
    <row r="392" spans="1:2" ht="15.75">
      <c r="A392" s="1" t="s">
        <v>68</v>
      </c>
      <c r="B392" s="2">
        <f>H385</f>
        <v>0</v>
      </c>
    </row>
    <row r="393" spans="1:2" ht="15.75">
      <c r="A393" s="1"/>
      <c r="B393" s="1"/>
    </row>
    <row r="394" spans="1:2" ht="15.75">
      <c r="A394" s="1" t="s">
        <v>69</v>
      </c>
      <c r="B394" s="2">
        <f>SUM(B389+B392)</f>
        <v>48062.21</v>
      </c>
    </row>
    <row r="395" ht="15.75">
      <c r="A395" s="1"/>
    </row>
    <row r="396" spans="1:2" ht="15.75">
      <c r="A396" s="1" t="s">
        <v>70</v>
      </c>
      <c r="B396" s="2">
        <v>42789.37</v>
      </c>
    </row>
    <row r="397" spans="1:2" ht="15.75">
      <c r="A397" s="1" t="s">
        <v>71</v>
      </c>
      <c r="B397" s="2"/>
    </row>
    <row r="398" spans="1:2" ht="15.75">
      <c r="A398" s="1"/>
      <c r="B398" s="2"/>
    </row>
    <row r="399" spans="1:2" ht="15.75">
      <c r="A399" s="1" t="s">
        <v>72</v>
      </c>
      <c r="B399" s="2">
        <f>SUM(B394)-B396</f>
        <v>5272.8399999999965</v>
      </c>
    </row>
    <row r="403" spans="1:8" ht="15.75">
      <c r="A403" s="36">
        <v>36892</v>
      </c>
      <c r="B403" s="50"/>
      <c r="C403" s="50"/>
      <c r="D403" s="50"/>
      <c r="E403" s="50"/>
      <c r="F403" s="50"/>
      <c r="G403" s="50"/>
      <c r="H403" s="50"/>
    </row>
    <row r="404" spans="1:8" ht="15.75">
      <c r="A404" s="50"/>
      <c r="B404" s="50"/>
      <c r="C404" s="50"/>
      <c r="D404" s="50"/>
      <c r="E404" s="50"/>
      <c r="F404" s="50"/>
      <c r="G404" s="50"/>
      <c r="H404" s="50"/>
    </row>
    <row r="405" spans="1:8" ht="15.75">
      <c r="A405" s="43" t="s">
        <v>38</v>
      </c>
      <c r="B405" s="43">
        <f>SUM(C418+C419+C420+C421+D418+D419+D420+D421+F419+F420+F421)</f>
        <v>496.35</v>
      </c>
      <c r="C405" s="50"/>
      <c r="D405" s="50"/>
      <c r="E405" s="50"/>
      <c r="F405" s="50"/>
      <c r="G405" s="50"/>
      <c r="H405" s="50"/>
    </row>
    <row r="406" spans="1:8" ht="15.75">
      <c r="A406" s="44"/>
      <c r="B406" s="43"/>
      <c r="C406" s="50"/>
      <c r="D406" s="50"/>
      <c r="E406" s="50"/>
      <c r="F406" s="50"/>
      <c r="G406" s="50"/>
      <c r="H406" s="50"/>
    </row>
    <row r="407" spans="1:8" ht="15.75">
      <c r="A407" s="43" t="s">
        <v>40</v>
      </c>
      <c r="B407" s="43">
        <f>SUM(C422+D422+F422)</f>
        <v>550.81</v>
      </c>
      <c r="C407" s="50"/>
      <c r="D407" s="50"/>
      <c r="E407" s="50"/>
      <c r="F407" s="50"/>
      <c r="G407" s="50"/>
      <c r="H407" s="50"/>
    </row>
    <row r="408" spans="1:8" ht="15.75">
      <c r="A408" s="44"/>
      <c r="B408" s="43"/>
      <c r="C408" s="50"/>
      <c r="D408" s="50"/>
      <c r="E408" s="50"/>
      <c r="F408" s="50"/>
      <c r="G408" s="50"/>
      <c r="H408" s="50"/>
    </row>
    <row r="409" spans="1:8" ht="15.75">
      <c r="A409" s="43" t="s">
        <v>41</v>
      </c>
      <c r="B409" s="43">
        <v>1107.09</v>
      </c>
      <c r="C409" t="s">
        <v>30</v>
      </c>
      <c r="D409" s="50"/>
      <c r="E409" s="50"/>
      <c r="F409" s="50"/>
      <c r="G409" s="50"/>
      <c r="H409" s="50"/>
    </row>
    <row r="410" spans="1:8" ht="15.75">
      <c r="A410" s="44"/>
      <c r="B410" s="43"/>
      <c r="C410" s="50"/>
      <c r="D410" s="50"/>
      <c r="E410" s="50"/>
      <c r="F410" s="50"/>
      <c r="G410" s="50"/>
      <c r="H410" s="50"/>
    </row>
    <row r="411" spans="1:8" ht="15.75">
      <c r="A411" s="43" t="s">
        <v>6</v>
      </c>
      <c r="B411" s="43">
        <f>SUM(B409)-B413</f>
        <v>332.0899999999999</v>
      </c>
      <c r="C411" s="50"/>
      <c r="D411" s="50"/>
      <c r="E411" s="50"/>
      <c r="F411" s="50"/>
      <c r="G411" s="50"/>
      <c r="H411" s="50"/>
    </row>
    <row r="412" spans="1:8" ht="15.75">
      <c r="A412" s="50"/>
      <c r="B412" s="51"/>
      <c r="C412" s="50"/>
      <c r="D412" s="50"/>
      <c r="E412" s="50"/>
      <c r="F412" s="50"/>
      <c r="G412" s="50"/>
      <c r="H412" s="50"/>
    </row>
    <row r="413" spans="1:8" ht="15">
      <c r="A413" s="43" t="s">
        <v>42</v>
      </c>
      <c r="B413" s="43">
        <v>775</v>
      </c>
      <c r="C413" s="44"/>
      <c r="D413" s="44"/>
      <c r="E413" s="44"/>
      <c r="F413" s="44"/>
      <c r="G413" s="44"/>
      <c r="H413" s="44"/>
    </row>
    <row r="414" spans="1:8" ht="15">
      <c r="A414" s="44"/>
      <c r="B414" s="44"/>
      <c r="C414" s="44"/>
      <c r="D414" s="44"/>
      <c r="E414" s="44"/>
      <c r="F414" s="44"/>
      <c r="G414" s="44"/>
      <c r="H414" s="44"/>
    </row>
    <row r="415" spans="1:8" ht="15">
      <c r="A415" s="44"/>
      <c r="B415" s="44"/>
      <c r="C415" s="44"/>
      <c r="D415" s="44"/>
      <c r="E415" s="44"/>
      <c r="F415" s="44"/>
      <c r="G415" s="44"/>
      <c r="H415" s="44"/>
    </row>
    <row r="416" spans="1:8" ht="15">
      <c r="A416" s="43" t="s">
        <v>43</v>
      </c>
      <c r="B416" s="44"/>
      <c r="C416" s="44"/>
      <c r="D416" s="44"/>
      <c r="E416" s="44"/>
      <c r="F416" s="44"/>
      <c r="G416" s="44"/>
      <c r="H416" s="44"/>
    </row>
    <row r="417" spans="1:11" ht="15">
      <c r="A417" s="52" t="s">
        <v>44</v>
      </c>
      <c r="B417" s="44"/>
      <c r="C417" s="45" t="s">
        <v>45</v>
      </c>
      <c r="D417" s="45" t="s">
        <v>46</v>
      </c>
      <c r="E417" s="45" t="s">
        <v>47</v>
      </c>
      <c r="F417" s="45" t="s">
        <v>48</v>
      </c>
      <c r="G417" s="45"/>
      <c r="H417" s="45" t="s">
        <v>49</v>
      </c>
      <c r="I417" s="37"/>
      <c r="J417" s="37"/>
      <c r="K417" s="37"/>
    </row>
    <row r="418" spans="1:8" ht="15">
      <c r="A418" s="44" t="s">
        <v>50</v>
      </c>
      <c r="B418" s="44"/>
      <c r="C418" s="44">
        <f>88.71</f>
        <v>88.71</v>
      </c>
      <c r="D418" s="44">
        <f>53.63+0.66</f>
        <v>54.29</v>
      </c>
      <c r="E418" s="44"/>
      <c r="F418" s="44"/>
      <c r="G418" s="44"/>
      <c r="H418" s="44">
        <f>SUM(C418:G418)</f>
        <v>143</v>
      </c>
    </row>
    <row r="419" spans="1:8" ht="15">
      <c r="A419" s="44" t="s">
        <v>51</v>
      </c>
      <c r="B419" s="44"/>
      <c r="C419" s="44">
        <v>137.03</v>
      </c>
      <c r="D419" s="44">
        <v>48.9</v>
      </c>
      <c r="E419" s="44"/>
      <c r="F419" s="44">
        <v>37.2</v>
      </c>
      <c r="G419" s="44"/>
      <c r="H419" s="44">
        <f>SUM(C419:G419)</f>
        <v>223.13</v>
      </c>
    </row>
    <row r="420" spans="1:8" ht="15">
      <c r="A420" s="44" t="s">
        <v>52</v>
      </c>
      <c r="B420" s="44"/>
      <c r="C420" s="44">
        <v>3</v>
      </c>
      <c r="D420" s="44">
        <v>20.75</v>
      </c>
      <c r="E420" s="44"/>
      <c r="F420" s="44">
        <f>1.24+36.26</f>
        <v>37.5</v>
      </c>
      <c r="G420" s="44"/>
      <c r="H420" s="44">
        <f>SUM(C420:G420)</f>
        <v>61.25</v>
      </c>
    </row>
    <row r="421" spans="1:8" ht="15">
      <c r="A421" s="44" t="s">
        <v>53</v>
      </c>
      <c r="B421" s="44"/>
      <c r="C421" s="44">
        <f>3.98+0.16</f>
        <v>4.14</v>
      </c>
      <c r="D421" s="44">
        <f>4.3+0.5</f>
        <v>4.8</v>
      </c>
      <c r="E421" s="44"/>
      <c r="F421" s="44">
        <f>8.71+23.84+2.38+12.35+11.66+1.09</f>
        <v>60.03</v>
      </c>
      <c r="G421" s="44"/>
      <c r="H421" s="44">
        <f>SUM(C421:G421)</f>
        <v>68.97</v>
      </c>
    </row>
    <row r="422" spans="1:8" ht="15">
      <c r="A422" s="44" t="s">
        <v>54</v>
      </c>
      <c r="B422" s="44"/>
      <c r="C422" s="44">
        <v>149.24</v>
      </c>
      <c r="D422" s="44">
        <v>86.56</v>
      </c>
      <c r="E422" s="44"/>
      <c r="F422" s="44">
        <f>5.01+0.16+17.77+0.65+0.2+1.78+37.29+6.46+1.59+0.65+7.76+43.26+0.31+37.76+1.6+2.54+4.98+3.4+3.24+97.21+19.08+0.33+21.98</f>
        <v>315.01</v>
      </c>
      <c r="G422" s="44"/>
      <c r="H422" s="44">
        <f>SUM(C422:G422)</f>
        <v>550.81</v>
      </c>
    </row>
    <row r="423" spans="1:8" ht="15">
      <c r="A423" s="43" t="s">
        <v>55</v>
      </c>
      <c r="B423" s="43"/>
      <c r="C423" s="43">
        <f>SUM(C418:C422)</f>
        <v>382.12</v>
      </c>
      <c r="D423" s="43">
        <f>SUM(D418:D422)</f>
        <v>215.3</v>
      </c>
      <c r="E423" s="43">
        <v>0</v>
      </c>
      <c r="F423" s="43">
        <f>SUM(F418:F422)</f>
        <v>449.74</v>
      </c>
      <c r="G423" s="43"/>
      <c r="H423" s="43">
        <f>SUM(H418:H422)</f>
        <v>1047.1599999999999</v>
      </c>
    </row>
    <row r="424" spans="1:8" ht="15">
      <c r="A424" s="44"/>
      <c r="B424" s="44"/>
      <c r="C424" s="44"/>
      <c r="D424" s="44"/>
      <c r="E424" s="44"/>
      <c r="F424" s="44"/>
      <c r="G424" s="44"/>
      <c r="H424" s="44"/>
    </row>
    <row r="425" spans="1:8" ht="15">
      <c r="A425" s="52" t="s">
        <v>56</v>
      </c>
      <c r="B425" s="44"/>
      <c r="C425" s="45" t="s">
        <v>45</v>
      </c>
      <c r="D425" s="45" t="s">
        <v>46</v>
      </c>
      <c r="E425" s="45" t="s">
        <v>58</v>
      </c>
      <c r="F425" s="45" t="s">
        <v>59</v>
      </c>
      <c r="G425" s="45"/>
      <c r="H425" s="45"/>
    </row>
    <row r="426" spans="1:8" ht="15">
      <c r="A426" s="44" t="s">
        <v>50</v>
      </c>
      <c r="B426" s="44"/>
      <c r="C426" s="44">
        <v>0</v>
      </c>
      <c r="D426" s="44">
        <v>0</v>
      </c>
      <c r="E426" s="44">
        <v>0</v>
      </c>
      <c r="F426" s="44">
        <v>0</v>
      </c>
      <c r="G426" s="44"/>
      <c r="H426" s="44">
        <v>0</v>
      </c>
    </row>
    <row r="427" spans="1:8" ht="15">
      <c r="A427" s="44" t="s">
        <v>51</v>
      </c>
      <c r="B427" s="44"/>
      <c r="C427" s="44">
        <v>0</v>
      </c>
      <c r="D427" s="44">
        <v>0</v>
      </c>
      <c r="E427" s="44">
        <v>0</v>
      </c>
      <c r="F427" s="44">
        <v>0</v>
      </c>
      <c r="G427" s="44"/>
      <c r="H427" s="44">
        <v>0</v>
      </c>
    </row>
    <row r="428" spans="1:8" ht="15">
      <c r="A428" s="44" t="s">
        <v>52</v>
      </c>
      <c r="B428" s="44"/>
      <c r="C428" s="44">
        <v>0</v>
      </c>
      <c r="D428" s="44">
        <v>0</v>
      </c>
      <c r="E428" s="44">
        <v>0</v>
      </c>
      <c r="F428" s="44">
        <v>0</v>
      </c>
      <c r="G428" s="44"/>
      <c r="H428" s="44">
        <v>0</v>
      </c>
    </row>
    <row r="429" spans="1:8" ht="15">
      <c r="A429" s="44" t="s">
        <v>53</v>
      </c>
      <c r="B429" s="44"/>
      <c r="C429" s="44">
        <v>0</v>
      </c>
      <c r="D429" s="44">
        <v>0</v>
      </c>
      <c r="E429" s="44">
        <v>0</v>
      </c>
      <c r="F429" s="44">
        <v>0</v>
      </c>
      <c r="G429" s="44"/>
      <c r="H429" s="44">
        <v>0</v>
      </c>
    </row>
    <row r="430" spans="1:8" ht="15">
      <c r="A430" s="44" t="s">
        <v>54</v>
      </c>
      <c r="B430" s="44"/>
      <c r="C430" s="44">
        <v>0</v>
      </c>
      <c r="D430" s="44">
        <v>0</v>
      </c>
      <c r="E430" s="44">
        <v>0</v>
      </c>
      <c r="F430" s="44">
        <v>0</v>
      </c>
      <c r="G430" s="44"/>
      <c r="H430" s="44">
        <v>0</v>
      </c>
    </row>
    <row r="431" spans="1:13" ht="15">
      <c r="A431" s="43" t="s">
        <v>55</v>
      </c>
      <c r="B431" s="43"/>
      <c r="C431" s="43">
        <v>0</v>
      </c>
      <c r="D431" s="43">
        <v>0</v>
      </c>
      <c r="E431" s="43">
        <v>0</v>
      </c>
      <c r="F431" s="43">
        <v>0</v>
      </c>
      <c r="G431" s="43"/>
      <c r="H431" s="43">
        <v>0</v>
      </c>
      <c r="I431" s="14"/>
      <c r="J431" s="14"/>
      <c r="K431" s="14"/>
      <c r="L431" s="14"/>
      <c r="M431" s="14"/>
    </row>
    <row r="432" spans="1:8" ht="15">
      <c r="A432" s="44"/>
      <c r="B432" s="44"/>
      <c r="C432" s="44"/>
      <c r="D432" s="44"/>
      <c r="E432" s="44"/>
      <c r="F432" s="44"/>
      <c r="G432" s="44"/>
      <c r="H432" s="44"/>
    </row>
    <row r="433" spans="1:8" ht="15">
      <c r="A433" s="43" t="s">
        <v>57</v>
      </c>
      <c r="B433" s="44"/>
      <c r="C433" s="45" t="s">
        <v>45</v>
      </c>
      <c r="D433" s="45" t="s">
        <v>46</v>
      </c>
      <c r="E433" s="45" t="s">
        <v>58</v>
      </c>
      <c r="F433" s="45" t="s">
        <v>59</v>
      </c>
      <c r="G433" s="45"/>
      <c r="H433" s="45"/>
    </row>
    <row r="434" spans="1:8" ht="15">
      <c r="A434" s="52" t="s">
        <v>44</v>
      </c>
      <c r="B434" s="44"/>
      <c r="C434" s="45" t="s">
        <v>60</v>
      </c>
      <c r="D434" s="45" t="s">
        <v>61</v>
      </c>
      <c r="E434" s="45" t="s">
        <v>62</v>
      </c>
      <c r="F434" s="45" t="s">
        <v>62</v>
      </c>
      <c r="G434" s="45"/>
      <c r="H434" s="45" t="s">
        <v>49</v>
      </c>
    </row>
    <row r="435" spans="1:8" ht="15">
      <c r="A435" s="44" t="s">
        <v>63</v>
      </c>
      <c r="B435" s="44"/>
      <c r="C435" s="49">
        <f>SUM(C418+C419)*45</f>
        <v>10158.300000000001</v>
      </c>
      <c r="D435" s="49">
        <f>SUM(D418+D419)*86</f>
        <v>8874.34</v>
      </c>
      <c r="E435" s="49">
        <v>0</v>
      </c>
      <c r="F435" s="49">
        <f>SUM(F418+F419)*37.5</f>
        <v>1395</v>
      </c>
      <c r="G435" s="44"/>
      <c r="H435" s="49">
        <f>SUM(C435:G435)</f>
        <v>20427.64</v>
      </c>
    </row>
    <row r="436" spans="1:8" ht="15">
      <c r="A436" s="44" t="s">
        <v>64</v>
      </c>
      <c r="B436" s="44"/>
      <c r="C436" s="49">
        <f>SUM(C420+C421)*45</f>
        <v>321.3</v>
      </c>
      <c r="D436" s="49">
        <f>SUM(D420+D421)*86</f>
        <v>2197.3</v>
      </c>
      <c r="E436" s="49">
        <v>0</v>
      </c>
      <c r="F436" s="49">
        <f>SUM(F420+F421)*37.5</f>
        <v>3657.375</v>
      </c>
      <c r="G436" s="44"/>
      <c r="H436" s="49">
        <f>SUM(C436:G436)</f>
        <v>6175.975</v>
      </c>
    </row>
    <row r="437" spans="1:8" ht="15">
      <c r="A437" s="44" t="s">
        <v>54</v>
      </c>
      <c r="B437" s="44"/>
      <c r="C437" s="49">
        <f>SUM(C422)*45</f>
        <v>6715.8</v>
      </c>
      <c r="D437" s="49">
        <f>SUM(D422)*86</f>
        <v>7444.16</v>
      </c>
      <c r="E437" s="49">
        <v>0</v>
      </c>
      <c r="F437" s="49">
        <f>SUM(F422)*37.5</f>
        <v>11812.875</v>
      </c>
      <c r="G437" s="44"/>
      <c r="H437" s="49">
        <f>SUM(C437:G437)</f>
        <v>25972.835</v>
      </c>
    </row>
    <row r="438" spans="1:8" ht="15">
      <c r="A438" s="44" t="s">
        <v>65</v>
      </c>
      <c r="B438" s="44"/>
      <c r="C438" s="49">
        <f>SUM(C435:C437)</f>
        <v>17195.4</v>
      </c>
      <c r="D438" s="49">
        <f>SUM(D435:D437)</f>
        <v>18515.8</v>
      </c>
      <c r="E438" s="49">
        <v>0</v>
      </c>
      <c r="F438" s="49">
        <f>SUM(F435:F437)</f>
        <v>16865.25</v>
      </c>
      <c r="G438" s="44"/>
      <c r="H438" s="49">
        <f>SUM(H435:H437)</f>
        <v>52576.45</v>
      </c>
    </row>
    <row r="439" spans="1:8" ht="15">
      <c r="A439" s="44"/>
      <c r="B439" s="44"/>
      <c r="C439" s="44"/>
      <c r="D439" s="44"/>
      <c r="E439" s="44"/>
      <c r="F439" s="44"/>
      <c r="G439" s="44"/>
      <c r="H439" s="44"/>
    </row>
    <row r="440" spans="1:8" ht="15">
      <c r="A440" s="52" t="s">
        <v>56</v>
      </c>
      <c r="B440" s="44"/>
      <c r="C440" s="45" t="s">
        <v>45</v>
      </c>
      <c r="D440" s="45" t="s">
        <v>46</v>
      </c>
      <c r="E440" s="45" t="s">
        <v>58</v>
      </c>
      <c r="F440" s="45" t="s">
        <v>59</v>
      </c>
      <c r="G440" s="45"/>
      <c r="H440" s="45"/>
    </row>
    <row r="441" spans="1:8" ht="15">
      <c r="A441" s="44" t="s">
        <v>63</v>
      </c>
      <c r="B441" s="44"/>
      <c r="C441" s="49">
        <v>0</v>
      </c>
      <c r="D441" s="49">
        <v>0</v>
      </c>
      <c r="E441" s="49">
        <v>0</v>
      </c>
      <c r="F441" s="49">
        <v>0</v>
      </c>
      <c r="G441" s="44"/>
      <c r="H441" s="49">
        <v>0</v>
      </c>
    </row>
    <row r="442" spans="1:8" ht="15">
      <c r="A442" s="44" t="s">
        <v>64</v>
      </c>
      <c r="B442" s="44"/>
      <c r="C442" s="49">
        <v>0</v>
      </c>
      <c r="D442" s="49">
        <v>0</v>
      </c>
      <c r="E442" s="49">
        <v>0</v>
      </c>
      <c r="F442" s="49">
        <v>0</v>
      </c>
      <c r="G442" s="44"/>
      <c r="H442" s="49">
        <v>0</v>
      </c>
    </row>
    <row r="443" spans="1:8" ht="15">
      <c r="A443" s="44" t="s">
        <v>54</v>
      </c>
      <c r="B443" s="44"/>
      <c r="C443" s="49">
        <v>0</v>
      </c>
      <c r="D443" s="49">
        <v>0</v>
      </c>
      <c r="E443" s="49">
        <v>0</v>
      </c>
      <c r="F443" s="49">
        <v>0</v>
      </c>
      <c r="G443" s="44"/>
      <c r="H443" s="49">
        <v>0</v>
      </c>
    </row>
    <row r="444" spans="1:8" ht="15">
      <c r="A444" s="43" t="s">
        <v>65</v>
      </c>
      <c r="B444" s="43"/>
      <c r="C444" s="53">
        <v>0</v>
      </c>
      <c r="D444" s="53">
        <v>0</v>
      </c>
      <c r="E444" s="53">
        <v>0</v>
      </c>
      <c r="F444" s="53">
        <v>0</v>
      </c>
      <c r="G444" s="43"/>
      <c r="H444" s="53">
        <v>0</v>
      </c>
    </row>
    <row r="445" spans="1:8" ht="15">
      <c r="A445" s="44"/>
      <c r="B445" s="44"/>
      <c r="C445" s="44"/>
      <c r="D445" s="44"/>
      <c r="E445" s="44"/>
      <c r="F445" s="44"/>
      <c r="G445" s="44"/>
      <c r="H445" s="44"/>
    </row>
    <row r="446" spans="1:8" ht="15">
      <c r="A446" s="44"/>
      <c r="B446" s="44"/>
      <c r="C446" s="44"/>
      <c r="D446" s="44"/>
      <c r="E446" s="44"/>
      <c r="F446" s="44"/>
      <c r="G446" s="44"/>
      <c r="H446" s="44"/>
    </row>
    <row r="447" spans="1:8" ht="15">
      <c r="A447" s="43" t="s">
        <v>66</v>
      </c>
      <c r="B447" s="43"/>
      <c r="C447" s="44"/>
      <c r="D447" s="44"/>
      <c r="E447" s="44"/>
      <c r="F447" s="44"/>
      <c r="G447" s="44"/>
      <c r="H447" s="44"/>
    </row>
    <row r="448" spans="1:8" ht="15">
      <c r="A448" s="43" t="s">
        <v>67</v>
      </c>
      <c r="B448" s="53">
        <f>SUM(H438+H444)</f>
        <v>52576.45</v>
      </c>
      <c r="C448" s="44"/>
      <c r="D448" s="44"/>
      <c r="E448" s="44"/>
      <c r="F448" s="44"/>
      <c r="G448" s="44"/>
      <c r="H448" s="44"/>
    </row>
    <row r="449" spans="1:8" ht="15">
      <c r="A449" s="43"/>
      <c r="B449" s="43"/>
      <c r="C449" s="44"/>
      <c r="D449" s="44"/>
      <c r="E449" s="44"/>
      <c r="F449" s="44"/>
      <c r="G449" s="44"/>
      <c r="H449" s="44"/>
    </row>
    <row r="450" spans="1:8" ht="15">
      <c r="A450" s="43" t="s">
        <v>66</v>
      </c>
      <c r="B450" s="43"/>
      <c r="C450" s="44"/>
      <c r="D450" s="44"/>
      <c r="E450" s="44"/>
      <c r="F450" s="44"/>
      <c r="G450" s="44"/>
      <c r="H450" s="44"/>
    </row>
    <row r="451" spans="1:8" ht="15">
      <c r="A451" s="43" t="s">
        <v>68</v>
      </c>
      <c r="B451" s="53">
        <v>0</v>
      </c>
      <c r="C451" s="44"/>
      <c r="D451" s="44"/>
      <c r="E451" s="44"/>
      <c r="F451" s="44"/>
      <c r="G451" s="44"/>
      <c r="H451" s="44"/>
    </row>
    <row r="452" spans="1:8" ht="15">
      <c r="A452" s="43"/>
      <c r="B452" s="43"/>
      <c r="C452" s="44"/>
      <c r="D452" s="44"/>
      <c r="E452" s="44"/>
      <c r="F452" s="44"/>
      <c r="G452" s="44"/>
      <c r="H452" s="44"/>
    </row>
    <row r="453" spans="1:8" ht="15">
      <c r="A453" s="43" t="s">
        <v>69</v>
      </c>
      <c r="B453" s="53">
        <f>SUM(B448)+B451</f>
        <v>52576.45</v>
      </c>
      <c r="C453" s="44"/>
      <c r="D453" s="44"/>
      <c r="E453" s="44"/>
      <c r="F453" s="44"/>
      <c r="G453" s="44"/>
      <c r="H453" s="44"/>
    </row>
    <row r="454" spans="1:8" ht="15">
      <c r="A454" s="43"/>
      <c r="B454" s="43"/>
      <c r="C454" s="44"/>
      <c r="D454" s="44"/>
      <c r="E454" s="44"/>
      <c r="F454" s="44"/>
      <c r="G454" s="44"/>
      <c r="H454" s="44"/>
    </row>
    <row r="455" spans="1:8" ht="15">
      <c r="A455" s="43" t="s">
        <v>70</v>
      </c>
      <c r="B455" s="58"/>
      <c r="C455" s="44"/>
      <c r="D455" s="44"/>
      <c r="E455" s="44"/>
      <c r="F455" s="44"/>
      <c r="G455" s="44"/>
      <c r="H455" s="44"/>
    </row>
    <row r="456" spans="1:8" ht="15">
      <c r="A456" s="43" t="s">
        <v>71</v>
      </c>
      <c r="B456" s="58">
        <v>30679.12</v>
      </c>
      <c r="C456" s="44"/>
      <c r="D456" s="44"/>
      <c r="E456" s="44"/>
      <c r="F456" s="44"/>
      <c r="G456" s="44"/>
      <c r="H456" s="44"/>
    </row>
    <row r="457" spans="1:8" ht="15">
      <c r="A457" s="43"/>
      <c r="B457" s="43"/>
      <c r="C457" s="44"/>
      <c r="D457" s="44"/>
      <c r="E457" s="44"/>
      <c r="F457" s="44"/>
      <c r="G457" s="44"/>
      <c r="H457" s="44"/>
    </row>
    <row r="458" spans="1:8" ht="15">
      <c r="A458" s="43" t="s">
        <v>72</v>
      </c>
      <c r="B458" s="53">
        <f>SUM(B453)-B456</f>
        <v>21897.329999999998</v>
      </c>
      <c r="C458" s="44"/>
      <c r="D458" s="44"/>
      <c r="E458" s="44"/>
      <c r="F458" s="44"/>
      <c r="G458" s="44"/>
      <c r="H458" s="44"/>
    </row>
    <row r="459" spans="1:8" ht="15.75">
      <c r="A459" s="50"/>
      <c r="B459" s="50"/>
      <c r="C459" s="50"/>
      <c r="D459" s="50"/>
      <c r="E459" s="50"/>
      <c r="F459" s="50"/>
      <c r="G459" s="50"/>
      <c r="H459" s="50"/>
    </row>
    <row r="463" spans="1:8" ht="15.75">
      <c r="A463" s="36">
        <v>36923</v>
      </c>
      <c r="B463" s="50"/>
      <c r="C463" s="50"/>
      <c r="D463" s="50"/>
      <c r="E463" s="50"/>
      <c r="F463" s="50"/>
      <c r="G463" s="50"/>
      <c r="H463" s="50"/>
    </row>
    <row r="464" spans="1:8" ht="15.75">
      <c r="A464" s="50"/>
      <c r="B464" s="50"/>
      <c r="C464" s="50"/>
      <c r="D464" s="50"/>
      <c r="E464" s="50"/>
      <c r="F464" s="50"/>
      <c r="G464" s="50"/>
      <c r="H464" s="50"/>
    </row>
    <row r="465" spans="1:8" ht="15.75">
      <c r="A465" s="43" t="s">
        <v>38</v>
      </c>
      <c r="B465" s="43">
        <f>SUM(C478:F481)</f>
        <v>429.93999999999994</v>
      </c>
      <c r="C465" s="50"/>
      <c r="D465" s="50"/>
      <c r="E465" s="50"/>
      <c r="F465" s="50"/>
      <c r="G465" s="50"/>
      <c r="H465" s="50"/>
    </row>
    <row r="466" spans="1:8" ht="15.75">
      <c r="A466" s="44"/>
      <c r="B466" s="43"/>
      <c r="C466" s="50"/>
      <c r="D466" s="50"/>
      <c r="E466" s="50"/>
      <c r="F466" s="50"/>
      <c r="G466" s="50"/>
      <c r="H466" s="50"/>
    </row>
    <row r="467" spans="1:8" ht="15.75">
      <c r="A467" s="43" t="s">
        <v>40</v>
      </c>
      <c r="B467" s="43">
        <f>SUM(C482:F482)</f>
        <v>495.89000000000004</v>
      </c>
      <c r="C467" s="50"/>
      <c r="D467" s="50"/>
      <c r="E467" s="50"/>
      <c r="F467" s="50"/>
      <c r="G467" s="50"/>
      <c r="H467" s="50"/>
    </row>
    <row r="468" spans="1:8" ht="15.75">
      <c r="A468" s="44"/>
      <c r="B468" s="43"/>
      <c r="C468" s="50"/>
      <c r="D468" s="50"/>
      <c r="E468" s="50"/>
      <c r="F468" s="50"/>
      <c r="G468" s="50"/>
      <c r="H468" s="50"/>
    </row>
    <row r="469" spans="1:8" ht="15.75">
      <c r="A469" s="43" t="s">
        <v>41</v>
      </c>
      <c r="B469" s="43">
        <f>SUM(B465+B467)+53.96</f>
        <v>979.79</v>
      </c>
      <c r="C469" t="s">
        <v>32</v>
      </c>
      <c r="D469" s="50"/>
      <c r="E469" s="50"/>
      <c r="F469" s="50"/>
      <c r="G469" s="50"/>
      <c r="H469" s="50"/>
    </row>
    <row r="470" spans="1:8" ht="15.75">
      <c r="A470" s="44"/>
      <c r="B470" s="43"/>
      <c r="C470" s="50"/>
      <c r="D470" s="50"/>
      <c r="E470" s="50"/>
      <c r="F470" s="50"/>
      <c r="G470" s="50"/>
      <c r="H470" s="50"/>
    </row>
    <row r="471" spans="1:8" ht="15.75">
      <c r="A471" s="43" t="s">
        <v>6</v>
      </c>
      <c r="B471" s="43">
        <f>SUM(B469)-B473</f>
        <v>204.78999999999996</v>
      </c>
      <c r="C471" s="50"/>
      <c r="D471" s="50"/>
      <c r="E471" s="50"/>
      <c r="F471" s="50"/>
      <c r="G471" s="50"/>
      <c r="H471" s="50"/>
    </row>
    <row r="472" spans="1:8" ht="15.75">
      <c r="A472" s="50"/>
      <c r="B472" s="51"/>
      <c r="C472" s="50"/>
      <c r="D472" s="50"/>
      <c r="E472" s="50"/>
      <c r="F472" s="50"/>
      <c r="G472" s="50"/>
      <c r="H472" s="50"/>
    </row>
    <row r="473" spans="1:8" ht="15">
      <c r="A473" s="43" t="s">
        <v>42</v>
      </c>
      <c r="B473" s="43">
        <v>775</v>
      </c>
      <c r="C473" s="44"/>
      <c r="D473" s="44"/>
      <c r="E473" s="44"/>
      <c r="F473" s="44"/>
      <c r="G473" s="44"/>
      <c r="H473" s="44"/>
    </row>
    <row r="474" spans="1:8" ht="15">
      <c r="A474" s="44"/>
      <c r="B474" s="44"/>
      <c r="C474" s="44"/>
      <c r="D474" s="44"/>
      <c r="E474" s="44"/>
      <c r="F474" s="44"/>
      <c r="G474" s="44"/>
      <c r="H474" s="44"/>
    </row>
    <row r="475" spans="1:8" ht="15">
      <c r="A475" s="44"/>
      <c r="B475" s="44"/>
      <c r="C475" s="44"/>
      <c r="D475" s="44"/>
      <c r="E475" s="44"/>
      <c r="F475" s="44"/>
      <c r="G475" s="44"/>
      <c r="H475" s="44"/>
    </row>
    <row r="476" spans="1:8" ht="15">
      <c r="A476" s="43" t="s">
        <v>43</v>
      </c>
      <c r="B476" s="44"/>
      <c r="C476" s="44"/>
      <c r="D476" s="44"/>
      <c r="E476" s="44"/>
      <c r="F476" s="44"/>
      <c r="G476" s="44"/>
      <c r="H476" s="44"/>
    </row>
    <row r="477" spans="1:8" ht="15">
      <c r="A477" s="52" t="s">
        <v>44</v>
      </c>
      <c r="B477" s="44"/>
      <c r="C477" s="45" t="s">
        <v>45</v>
      </c>
      <c r="D477" s="45" t="s">
        <v>46</v>
      </c>
      <c r="E477" s="45" t="s">
        <v>47</v>
      </c>
      <c r="F477" s="45" t="s">
        <v>48</v>
      </c>
      <c r="G477" s="45"/>
      <c r="H477" s="45" t="s">
        <v>49</v>
      </c>
    </row>
    <row r="478" spans="1:8" ht="15">
      <c r="A478" s="44" t="s">
        <v>50</v>
      </c>
      <c r="B478" s="44"/>
      <c r="C478" s="44">
        <v>78.68</v>
      </c>
      <c r="D478" s="44">
        <v>43.76</v>
      </c>
      <c r="E478" s="44"/>
      <c r="F478" s="44"/>
      <c r="G478" s="44"/>
      <c r="H478" s="44">
        <f>SUM(C478:G478)</f>
        <v>122.44</v>
      </c>
    </row>
    <row r="479" spans="1:8" ht="15">
      <c r="A479" s="44" t="s">
        <v>51</v>
      </c>
      <c r="B479" s="44"/>
      <c r="C479" s="44">
        <v>112.87</v>
      </c>
      <c r="D479" s="44">
        <v>31.71</v>
      </c>
      <c r="E479" s="44"/>
      <c r="F479" s="44">
        <f>0.66+48.41</f>
        <v>49.06999999999999</v>
      </c>
      <c r="G479" s="44"/>
      <c r="H479" s="44">
        <f>SUM(C479:G479)</f>
        <v>193.65</v>
      </c>
    </row>
    <row r="480" spans="1:8" ht="15">
      <c r="A480" s="44" t="s">
        <v>52</v>
      </c>
      <c r="B480" s="44"/>
      <c r="C480" s="44">
        <v>2.04</v>
      </c>
      <c r="D480" s="44">
        <v>20</v>
      </c>
      <c r="E480" s="44"/>
      <c r="F480" s="44">
        <v>16.35</v>
      </c>
      <c r="G480" s="44"/>
      <c r="H480" s="44">
        <f>SUM(C480:G480)</f>
        <v>38.39</v>
      </c>
    </row>
    <row r="481" spans="1:8" ht="15">
      <c r="A481" s="44" t="s">
        <v>53</v>
      </c>
      <c r="B481" s="44"/>
      <c r="C481" s="44">
        <f>3.19+0.69+0.7</f>
        <v>4.58</v>
      </c>
      <c r="D481" s="44">
        <v>4.53</v>
      </c>
      <c r="E481" s="44"/>
      <c r="F481" s="44">
        <f>2.18+5.35+38.15+3.95+1.23+0.61+0.5+13.61+0.77</f>
        <v>66.35</v>
      </c>
      <c r="G481" s="44"/>
      <c r="H481" s="44">
        <f>SUM(C481:G481)</f>
        <v>75.46</v>
      </c>
    </row>
    <row r="482" spans="1:8" ht="15">
      <c r="A482" s="44" t="s">
        <v>54</v>
      </c>
      <c r="B482" s="44"/>
      <c r="C482" s="44">
        <f>2.34+0.47+3.03+1.08+8.52+11.34+5.13+15.31+6.82+58.58+5.32</f>
        <v>117.94</v>
      </c>
      <c r="D482" s="44">
        <f>2.04+0.43+0.1+2.51+0.45+3.5+5.91+1.14+1.48+17.29+4.57+28.55+0.54+5.1+10.44</f>
        <v>84.05</v>
      </c>
      <c r="E482" s="44"/>
      <c r="F482" s="44">
        <f>6.79+2.13+3.64+0.13+3.23+37.6+2.24+1.18+0.64+44.48+0.64+36.05+1.41+0.9+17.59+4.11+1.92+84.45+22.24+0.18+22.35</f>
        <v>293.90000000000003</v>
      </c>
      <c r="G482" s="44"/>
      <c r="H482" s="44">
        <f>SUM(C482:G482)</f>
        <v>495.89000000000004</v>
      </c>
    </row>
    <row r="483" spans="1:8" ht="15">
      <c r="A483" s="43" t="s">
        <v>55</v>
      </c>
      <c r="B483" s="43"/>
      <c r="C483" s="43">
        <f>SUM(C478:C482)</f>
        <v>316.11</v>
      </c>
      <c r="D483" s="43">
        <f>SUM(D478:D482)</f>
        <v>184.05</v>
      </c>
      <c r="E483" s="43">
        <v>0</v>
      </c>
      <c r="F483" s="43">
        <f>SUM(F478:F482)</f>
        <v>425.67</v>
      </c>
      <c r="G483" s="43"/>
      <c r="H483" s="43">
        <f>SUM(H478:H482)</f>
        <v>925.83</v>
      </c>
    </row>
    <row r="484" spans="1:8" ht="15">
      <c r="A484" s="44"/>
      <c r="B484" s="44"/>
      <c r="C484" s="44"/>
      <c r="D484" s="44"/>
      <c r="E484" s="44"/>
      <c r="F484" s="44"/>
      <c r="G484" s="44"/>
      <c r="H484" s="44"/>
    </row>
    <row r="485" spans="1:8" ht="15">
      <c r="A485" s="52" t="s">
        <v>56</v>
      </c>
      <c r="B485" s="44"/>
      <c r="C485" s="45" t="s">
        <v>45</v>
      </c>
      <c r="D485" s="45" t="s">
        <v>46</v>
      </c>
      <c r="E485" s="45" t="s">
        <v>58</v>
      </c>
      <c r="F485" s="45" t="s">
        <v>59</v>
      </c>
      <c r="G485" s="45"/>
      <c r="H485" s="45"/>
    </row>
    <row r="486" spans="1:8" ht="15">
      <c r="A486" s="44" t="s">
        <v>50</v>
      </c>
      <c r="B486" s="44"/>
      <c r="C486" s="44">
        <v>0</v>
      </c>
      <c r="D486" s="44">
        <v>0</v>
      </c>
      <c r="E486" s="44">
        <v>0</v>
      </c>
      <c r="F486" s="44">
        <v>0</v>
      </c>
      <c r="G486" s="44"/>
      <c r="H486" s="44">
        <v>0</v>
      </c>
    </row>
    <row r="487" spans="1:8" ht="15">
      <c r="A487" s="44" t="s">
        <v>51</v>
      </c>
      <c r="B487" s="44"/>
      <c r="C487" s="44">
        <v>0</v>
      </c>
      <c r="D487" s="44">
        <v>0</v>
      </c>
      <c r="E487" s="44">
        <v>0</v>
      </c>
      <c r="F487" s="44">
        <v>0</v>
      </c>
      <c r="G487" s="44"/>
      <c r="H487" s="44">
        <v>0</v>
      </c>
    </row>
    <row r="488" spans="1:8" ht="15">
      <c r="A488" s="44" t="s">
        <v>52</v>
      </c>
      <c r="B488" s="44"/>
      <c r="C488" s="44">
        <v>0</v>
      </c>
      <c r="D488" s="44">
        <v>0</v>
      </c>
      <c r="E488" s="44">
        <v>0</v>
      </c>
      <c r="F488" s="44">
        <v>0</v>
      </c>
      <c r="G488" s="44"/>
      <c r="H488" s="44">
        <v>0</v>
      </c>
    </row>
    <row r="489" spans="1:8" ht="15">
      <c r="A489" s="44" t="s">
        <v>53</v>
      </c>
      <c r="B489" s="44"/>
      <c r="C489" s="44">
        <v>0</v>
      </c>
      <c r="D489" s="44">
        <v>0</v>
      </c>
      <c r="E489" s="44">
        <v>0</v>
      </c>
      <c r="F489" s="44">
        <v>0</v>
      </c>
      <c r="G489" s="44"/>
      <c r="H489" s="44">
        <v>0</v>
      </c>
    </row>
    <row r="490" spans="1:8" ht="15">
      <c r="A490" s="44" t="s">
        <v>54</v>
      </c>
      <c r="B490" s="44"/>
      <c r="C490" s="44">
        <v>0</v>
      </c>
      <c r="D490" s="44">
        <v>0</v>
      </c>
      <c r="E490" s="44">
        <v>0</v>
      </c>
      <c r="F490" s="44">
        <v>0</v>
      </c>
      <c r="G490" s="44"/>
      <c r="H490" s="44">
        <v>0</v>
      </c>
    </row>
    <row r="491" spans="1:8" ht="15">
      <c r="A491" s="43" t="s">
        <v>55</v>
      </c>
      <c r="B491" s="43"/>
      <c r="C491" s="43">
        <v>0</v>
      </c>
      <c r="D491" s="43">
        <v>0</v>
      </c>
      <c r="E491" s="43">
        <v>0</v>
      </c>
      <c r="F491" s="43">
        <v>0</v>
      </c>
      <c r="G491" s="43"/>
      <c r="H491" s="43">
        <v>0</v>
      </c>
    </row>
    <row r="492" spans="1:8" ht="15">
      <c r="A492" s="44"/>
      <c r="B492" s="44"/>
      <c r="C492" s="44"/>
      <c r="D492" s="44"/>
      <c r="E492" s="44"/>
      <c r="F492" s="44"/>
      <c r="G492" s="44"/>
      <c r="H492" s="44"/>
    </row>
    <row r="493" spans="1:8" ht="15">
      <c r="A493" s="43" t="s">
        <v>57</v>
      </c>
      <c r="B493" s="44"/>
      <c r="C493" s="45" t="s">
        <v>45</v>
      </c>
      <c r="D493" s="45" t="s">
        <v>46</v>
      </c>
      <c r="E493" s="45" t="s">
        <v>58</v>
      </c>
      <c r="F493" s="45" t="s">
        <v>59</v>
      </c>
      <c r="G493" s="45"/>
      <c r="H493" s="45"/>
    </row>
    <row r="494" spans="1:8" ht="15">
      <c r="A494" s="52" t="s">
        <v>44</v>
      </c>
      <c r="B494" s="44"/>
      <c r="C494" s="45" t="s">
        <v>60</v>
      </c>
      <c r="D494" s="45" t="s">
        <v>61</v>
      </c>
      <c r="E494" s="45" t="s">
        <v>62</v>
      </c>
      <c r="F494" s="45" t="s">
        <v>62</v>
      </c>
      <c r="G494" s="45"/>
      <c r="H494" s="45" t="s">
        <v>49</v>
      </c>
    </row>
    <row r="495" spans="1:8" ht="15">
      <c r="A495" s="44" t="s">
        <v>63</v>
      </c>
      <c r="B495" s="44"/>
      <c r="C495" s="49">
        <f>SUM(C478+C479)*45</f>
        <v>8619.75</v>
      </c>
      <c r="D495" s="49">
        <f>SUM(D478+D479)*86</f>
        <v>6490.42</v>
      </c>
      <c r="E495" s="49">
        <v>0</v>
      </c>
      <c r="F495" s="49">
        <f>SUM(F478+F479)*37.5</f>
        <v>1840.1249999999998</v>
      </c>
      <c r="G495" s="44"/>
      <c r="H495" s="49">
        <f>SUM(C495:G495)</f>
        <v>16950.295</v>
      </c>
    </row>
    <row r="496" spans="1:8" ht="15">
      <c r="A496" s="44" t="s">
        <v>64</v>
      </c>
      <c r="B496" s="44"/>
      <c r="C496" s="49">
        <f>SUM(C480+C481)*45</f>
        <v>297.9</v>
      </c>
      <c r="D496" s="49">
        <f>SUM(D480+D481)*86</f>
        <v>2109.58</v>
      </c>
      <c r="E496" s="49">
        <v>0</v>
      </c>
      <c r="F496" s="49">
        <f>SUM(F480+F481)*37.5</f>
        <v>3101.2499999999995</v>
      </c>
      <c r="G496" s="44"/>
      <c r="H496" s="49">
        <f>SUM(C496:G496)</f>
        <v>5508.73</v>
      </c>
    </row>
    <row r="497" spans="1:8" ht="15">
      <c r="A497" s="44" t="s">
        <v>54</v>
      </c>
      <c r="B497" s="44"/>
      <c r="C497" s="49">
        <f>SUM(C482)*45</f>
        <v>5307.3</v>
      </c>
      <c r="D497" s="49">
        <f>SUM(D482)*86</f>
        <v>7228.3</v>
      </c>
      <c r="E497" s="49">
        <v>0</v>
      </c>
      <c r="F497" s="49">
        <f>SUM(F482)*37.5</f>
        <v>11021.250000000002</v>
      </c>
      <c r="G497" s="44"/>
      <c r="H497" s="49">
        <f>SUM(C497:G497)</f>
        <v>23556.850000000002</v>
      </c>
    </row>
    <row r="498" spans="1:8" ht="15">
      <c r="A498" s="44" t="s">
        <v>65</v>
      </c>
      <c r="B498" s="44"/>
      <c r="C498" s="49">
        <f>SUM(C495:C497)</f>
        <v>14224.95</v>
      </c>
      <c r="D498" s="49">
        <f>SUM(D495:D497)</f>
        <v>15828.3</v>
      </c>
      <c r="E498" s="49">
        <v>0</v>
      </c>
      <c r="F498" s="49">
        <f>SUM(F495:F497)</f>
        <v>15962.625</v>
      </c>
      <c r="G498" s="44"/>
      <c r="H498" s="49">
        <f>SUM(H495:H497)</f>
        <v>46015.875</v>
      </c>
    </row>
    <row r="499" spans="1:8" ht="15">
      <c r="A499" s="44"/>
      <c r="B499" s="44"/>
      <c r="C499" s="44"/>
      <c r="D499" s="44"/>
      <c r="E499" s="44"/>
      <c r="F499" s="44"/>
      <c r="G499" s="44"/>
      <c r="H499" s="44"/>
    </row>
    <row r="500" spans="1:8" ht="15">
      <c r="A500" s="52" t="s">
        <v>56</v>
      </c>
      <c r="B500" s="44"/>
      <c r="C500" s="45" t="s">
        <v>45</v>
      </c>
      <c r="D500" s="45" t="s">
        <v>46</v>
      </c>
      <c r="E500" s="45" t="s">
        <v>58</v>
      </c>
      <c r="F500" s="45" t="s">
        <v>59</v>
      </c>
      <c r="G500" s="45"/>
      <c r="H500" s="45"/>
    </row>
    <row r="501" spans="1:8" ht="15">
      <c r="A501" s="44" t="s">
        <v>63</v>
      </c>
      <c r="B501" s="44"/>
      <c r="C501" s="49">
        <v>0</v>
      </c>
      <c r="D501" s="49">
        <v>0</v>
      </c>
      <c r="E501" s="49">
        <v>0</v>
      </c>
      <c r="F501" s="49">
        <v>0</v>
      </c>
      <c r="G501" s="44"/>
      <c r="H501" s="49">
        <v>0</v>
      </c>
    </row>
    <row r="502" spans="1:8" ht="15">
      <c r="A502" s="44" t="s">
        <v>64</v>
      </c>
      <c r="B502" s="44"/>
      <c r="C502" s="49">
        <v>0</v>
      </c>
      <c r="D502" s="49">
        <v>0</v>
      </c>
      <c r="E502" s="49">
        <v>0</v>
      </c>
      <c r="F502" s="49">
        <v>0</v>
      </c>
      <c r="G502" s="44"/>
      <c r="H502" s="49">
        <v>0</v>
      </c>
    </row>
    <row r="503" spans="1:8" ht="15">
      <c r="A503" s="44" t="s">
        <v>54</v>
      </c>
      <c r="B503" s="44"/>
      <c r="C503" s="49">
        <v>0</v>
      </c>
      <c r="D503" s="49">
        <v>0</v>
      </c>
      <c r="E503" s="49">
        <v>0</v>
      </c>
      <c r="F503" s="49">
        <v>0</v>
      </c>
      <c r="G503" s="44"/>
      <c r="H503" s="49">
        <v>0</v>
      </c>
    </row>
    <row r="504" spans="1:8" ht="15">
      <c r="A504" s="43" t="s">
        <v>65</v>
      </c>
      <c r="B504" s="43"/>
      <c r="C504" s="53">
        <v>0</v>
      </c>
      <c r="D504" s="53">
        <v>0</v>
      </c>
      <c r="E504" s="53">
        <v>0</v>
      </c>
      <c r="F504" s="53">
        <v>0</v>
      </c>
      <c r="G504" s="43"/>
      <c r="H504" s="53">
        <v>0</v>
      </c>
    </row>
    <row r="505" spans="1:8" ht="15">
      <c r="A505" s="44"/>
      <c r="B505" s="44"/>
      <c r="C505" s="44"/>
      <c r="D505" s="44"/>
      <c r="E505" s="44"/>
      <c r="F505" s="44"/>
      <c r="G505" s="44"/>
      <c r="H505" s="44"/>
    </row>
    <row r="506" spans="1:8" ht="15">
      <c r="A506" s="44"/>
      <c r="B506" s="44"/>
      <c r="C506" s="44"/>
      <c r="D506" s="44"/>
      <c r="E506" s="44"/>
      <c r="F506" s="44"/>
      <c r="G506" s="44"/>
      <c r="H506" s="44"/>
    </row>
    <row r="507" spans="1:8" ht="15">
      <c r="A507" s="43" t="s">
        <v>66</v>
      </c>
      <c r="B507" s="43"/>
      <c r="C507" s="44"/>
      <c r="D507" s="44"/>
      <c r="E507" s="44"/>
      <c r="F507" s="44"/>
      <c r="G507" s="44"/>
      <c r="H507" s="44"/>
    </row>
    <row r="508" spans="1:8" ht="15">
      <c r="A508" s="43" t="s">
        <v>67</v>
      </c>
      <c r="B508" s="53">
        <f>SUM(H498+H504)</f>
        <v>46015.875</v>
      </c>
      <c r="C508" s="44"/>
      <c r="D508" s="44"/>
      <c r="E508" s="44"/>
      <c r="F508" s="44"/>
      <c r="G508" s="44"/>
      <c r="H508" s="44"/>
    </row>
    <row r="509" spans="1:8" ht="15">
      <c r="A509" s="43"/>
      <c r="B509" s="43"/>
      <c r="C509" s="44"/>
      <c r="D509" s="44"/>
      <c r="E509" s="44"/>
      <c r="F509" s="44"/>
      <c r="G509" s="44"/>
      <c r="H509" s="44"/>
    </row>
    <row r="510" spans="1:8" ht="15">
      <c r="A510" s="43" t="s">
        <v>66</v>
      </c>
      <c r="B510" s="43"/>
      <c r="C510" s="44"/>
      <c r="D510" s="44"/>
      <c r="E510" s="44"/>
      <c r="F510" s="44"/>
      <c r="G510" s="44"/>
      <c r="H510" s="44"/>
    </row>
    <row r="511" spans="1:8" ht="15">
      <c r="A511" s="43" t="s">
        <v>68</v>
      </c>
      <c r="B511" s="53">
        <v>0</v>
      </c>
      <c r="C511" s="44"/>
      <c r="D511" s="44"/>
      <c r="E511" s="44"/>
      <c r="F511" s="44"/>
      <c r="G511" s="44"/>
      <c r="H511" s="44"/>
    </row>
    <row r="512" spans="1:8" ht="15">
      <c r="A512" s="43"/>
      <c r="B512" s="43"/>
      <c r="C512" s="44"/>
      <c r="D512" s="44"/>
      <c r="E512" s="44"/>
      <c r="F512" s="44"/>
      <c r="G512" s="44"/>
      <c r="H512" s="44"/>
    </row>
    <row r="513" spans="1:8" ht="15">
      <c r="A513" s="43" t="s">
        <v>69</v>
      </c>
      <c r="B513" s="53">
        <f>SUM(B508+B511)</f>
        <v>46015.875</v>
      </c>
      <c r="C513" s="44"/>
      <c r="D513" s="44"/>
      <c r="E513" s="44"/>
      <c r="F513" s="44"/>
      <c r="G513" s="44"/>
      <c r="H513" s="44"/>
    </row>
    <row r="514" spans="1:8" ht="15">
      <c r="A514" s="43"/>
      <c r="B514" s="43"/>
      <c r="C514" s="44"/>
      <c r="D514" s="44"/>
      <c r="E514" s="44"/>
      <c r="F514" s="44"/>
      <c r="G514" s="44"/>
      <c r="H514" s="44"/>
    </row>
    <row r="515" spans="1:8" ht="15">
      <c r="A515" s="43" t="s">
        <v>70</v>
      </c>
      <c r="B515" s="58"/>
      <c r="C515" s="44"/>
      <c r="D515" s="44"/>
      <c r="E515" s="44"/>
      <c r="F515" s="44"/>
      <c r="G515" s="44"/>
      <c r="H515" s="44"/>
    </row>
    <row r="516" spans="1:8" ht="15">
      <c r="A516" s="43" t="s">
        <v>71</v>
      </c>
      <c r="B516" s="58">
        <v>22347.26</v>
      </c>
      <c r="C516" s="44"/>
      <c r="D516" s="44"/>
      <c r="E516" s="44"/>
      <c r="F516" s="44"/>
      <c r="G516" s="44"/>
      <c r="H516" s="44"/>
    </row>
    <row r="517" spans="1:8" ht="15">
      <c r="A517" s="43"/>
      <c r="B517" s="43"/>
      <c r="C517" s="44"/>
      <c r="D517" s="44"/>
      <c r="E517" s="44"/>
      <c r="F517" s="44"/>
      <c r="G517" s="44"/>
      <c r="H517" s="44"/>
    </row>
    <row r="518" spans="1:8" ht="15">
      <c r="A518" s="43" t="s">
        <v>72</v>
      </c>
      <c r="B518" s="53">
        <f>SUM(B513)-B516</f>
        <v>23668.615</v>
      </c>
      <c r="C518" s="44"/>
      <c r="D518" s="44"/>
      <c r="E518" s="44"/>
      <c r="F518" s="44"/>
      <c r="G518" s="44"/>
      <c r="H518" s="44"/>
    </row>
    <row r="519" spans="1:8" ht="15.75">
      <c r="A519" s="50"/>
      <c r="B519" s="50"/>
      <c r="C519" s="50"/>
      <c r="D519" s="50"/>
      <c r="E519" s="50"/>
      <c r="F519" s="50"/>
      <c r="G519" s="50"/>
      <c r="H519" s="50"/>
    </row>
    <row r="522" spans="1:8" ht="15.75">
      <c r="A522" s="36">
        <v>36951</v>
      </c>
      <c r="B522" s="50"/>
      <c r="C522" s="50"/>
      <c r="D522" s="50"/>
      <c r="E522" s="50"/>
      <c r="F522" s="50"/>
      <c r="G522" s="50"/>
      <c r="H522" s="50"/>
    </row>
    <row r="523" spans="1:8" ht="15.75">
      <c r="A523" s="50"/>
      <c r="B523" s="50"/>
      <c r="C523" s="50"/>
      <c r="D523" s="50"/>
      <c r="E523" s="50"/>
      <c r="F523" s="50"/>
      <c r="G523" s="50"/>
      <c r="H523" s="50"/>
    </row>
    <row r="524" spans="1:8" ht="15.75">
      <c r="A524" s="43" t="s">
        <v>38</v>
      </c>
      <c r="B524" s="43">
        <f>SUM(H537+H538+H539+H540)</f>
        <v>528.35</v>
      </c>
      <c r="C524" s="50"/>
      <c r="D524" s="50"/>
      <c r="E524" s="50"/>
      <c r="F524" s="50"/>
      <c r="G524" s="50"/>
      <c r="H524" s="50"/>
    </row>
    <row r="525" spans="1:8" ht="15.75">
      <c r="A525" s="44"/>
      <c r="B525" s="43"/>
      <c r="C525" s="50"/>
      <c r="D525" s="50"/>
      <c r="E525" s="50"/>
      <c r="F525" s="50"/>
      <c r="G525" s="50"/>
      <c r="H525" s="50"/>
    </row>
    <row r="526" spans="1:8" ht="15.75">
      <c r="A526" s="43" t="s">
        <v>40</v>
      </c>
      <c r="B526" s="43">
        <f>SUM(H541)+54.13</f>
        <v>659.73</v>
      </c>
      <c r="C526" s="50"/>
      <c r="D526" s="50"/>
      <c r="E526" s="50"/>
      <c r="F526" s="50"/>
      <c r="G526" s="50"/>
      <c r="H526" s="50"/>
    </row>
    <row r="527" spans="1:8" ht="15.75">
      <c r="A527" s="44"/>
      <c r="B527" s="43"/>
      <c r="C527" s="50"/>
      <c r="D527" s="50"/>
      <c r="E527" s="50"/>
      <c r="F527" s="50"/>
      <c r="G527" s="50"/>
      <c r="H527" s="50"/>
    </row>
    <row r="528" spans="1:8" ht="15.75">
      <c r="A528" s="43" t="s">
        <v>41</v>
      </c>
      <c r="B528" s="43">
        <f>SUM(B524+B526)</f>
        <v>1188.08</v>
      </c>
      <c r="C528" t="s">
        <v>33</v>
      </c>
      <c r="D528" s="50"/>
      <c r="E528" s="50"/>
      <c r="F528" s="50"/>
      <c r="G528" s="50"/>
      <c r="H528" s="50"/>
    </row>
    <row r="529" spans="1:8" ht="15.75">
      <c r="A529" s="44"/>
      <c r="B529" s="43"/>
      <c r="C529" s="50"/>
      <c r="D529" s="50"/>
      <c r="E529" s="50"/>
      <c r="F529" s="50"/>
      <c r="G529" s="50"/>
      <c r="H529" s="50"/>
    </row>
    <row r="530" spans="1:8" ht="15.75">
      <c r="A530" s="43" t="s">
        <v>6</v>
      </c>
      <c r="B530" s="43">
        <f>SUM(B528)-B532</f>
        <v>413.0799999999999</v>
      </c>
      <c r="C530" s="50"/>
      <c r="D530" s="50"/>
      <c r="E530" s="50"/>
      <c r="F530" s="50"/>
      <c r="G530" s="50"/>
      <c r="H530" s="50"/>
    </row>
    <row r="531" spans="1:8" ht="15.75">
      <c r="A531" s="50"/>
      <c r="B531" s="51"/>
      <c r="C531" s="50"/>
      <c r="D531" s="50"/>
      <c r="E531" s="50"/>
      <c r="F531" s="50"/>
      <c r="G531" s="50"/>
      <c r="H531" s="50"/>
    </row>
    <row r="532" spans="1:8" ht="15">
      <c r="A532" s="43" t="s">
        <v>42</v>
      </c>
      <c r="B532" s="43">
        <v>775</v>
      </c>
      <c r="C532" s="44"/>
      <c r="D532" s="44"/>
      <c r="E532" s="44"/>
      <c r="F532" s="44"/>
      <c r="G532" s="44"/>
      <c r="H532" s="44"/>
    </row>
    <row r="533" spans="1:8" ht="15">
      <c r="A533" s="44"/>
      <c r="B533" s="44"/>
      <c r="C533" s="44"/>
      <c r="D533" s="44"/>
      <c r="E533" s="44"/>
      <c r="F533" s="44"/>
      <c r="G533" s="44"/>
      <c r="H533" s="44"/>
    </row>
    <row r="534" spans="1:8" ht="15">
      <c r="A534" s="44"/>
      <c r="B534" s="44"/>
      <c r="C534" s="44"/>
      <c r="D534" s="44"/>
      <c r="E534" s="44"/>
      <c r="F534" s="44"/>
      <c r="G534" s="44"/>
      <c r="H534" s="44"/>
    </row>
    <row r="535" spans="1:8" ht="15">
      <c r="A535" s="43" t="s">
        <v>43</v>
      </c>
      <c r="B535" s="44"/>
      <c r="C535" s="44"/>
      <c r="D535" s="44"/>
      <c r="E535" s="44"/>
      <c r="F535" s="44"/>
      <c r="G535" s="44"/>
      <c r="H535" s="44"/>
    </row>
    <row r="536" spans="1:8" ht="15">
      <c r="A536" s="52" t="s">
        <v>44</v>
      </c>
      <c r="B536" s="44"/>
      <c r="C536" s="45" t="s">
        <v>45</v>
      </c>
      <c r="D536" s="45" t="s">
        <v>46</v>
      </c>
      <c r="E536" s="45" t="s">
        <v>47</v>
      </c>
      <c r="F536" s="45" t="s">
        <v>48</v>
      </c>
      <c r="G536" s="45"/>
      <c r="H536" s="45" t="s">
        <v>49</v>
      </c>
    </row>
    <row r="537" spans="1:8" ht="15">
      <c r="A537" s="44" t="s">
        <v>50</v>
      </c>
      <c r="B537" s="44"/>
      <c r="C537" s="44">
        <v>89.38</v>
      </c>
      <c r="D537" s="44">
        <v>46.19</v>
      </c>
      <c r="E537" s="44">
        <v>5.56</v>
      </c>
      <c r="F537">
        <v>0</v>
      </c>
      <c r="G537" s="44"/>
      <c r="H537" s="44">
        <f>SUM(C537:G537)</f>
        <v>141.13</v>
      </c>
    </row>
    <row r="538" spans="1:8" ht="15">
      <c r="A538" s="44" t="s">
        <v>51</v>
      </c>
      <c r="B538" s="44"/>
      <c r="C538" s="44">
        <v>135.92</v>
      </c>
      <c r="D538" s="44">
        <v>54.61</v>
      </c>
      <c r="E538" s="44"/>
      <c r="F538" s="44">
        <v>67.36</v>
      </c>
      <c r="G538" s="44"/>
      <c r="H538" s="44">
        <f>SUM(C538:G538)</f>
        <v>257.89</v>
      </c>
    </row>
    <row r="539" spans="1:8" ht="15">
      <c r="A539" s="44" t="s">
        <v>52</v>
      </c>
      <c r="B539" s="44"/>
      <c r="C539" s="44">
        <v>1.18</v>
      </c>
      <c r="D539" s="44">
        <v>16.7</v>
      </c>
      <c r="E539" s="44"/>
      <c r="F539" s="44">
        <v>16.74</v>
      </c>
      <c r="G539" s="44"/>
      <c r="H539" s="44">
        <f>SUM(C539:G539)</f>
        <v>34.62</v>
      </c>
    </row>
    <row r="540" spans="1:8" ht="15">
      <c r="A540" s="44" t="s">
        <v>53</v>
      </c>
      <c r="B540" s="44"/>
      <c r="C540" s="44">
        <f>1.78+10.3+0.66</f>
        <v>12.74</v>
      </c>
      <c r="D540" s="44">
        <v>7.03</v>
      </c>
      <c r="E540" s="44"/>
      <c r="F540" s="44">
        <f>60.07+4.65+0.54+4.39+5.29</f>
        <v>74.94000000000001</v>
      </c>
      <c r="G540" s="44"/>
      <c r="H540" s="44">
        <f>SUM(C540:G540)</f>
        <v>94.71000000000001</v>
      </c>
    </row>
    <row r="541" spans="1:8" ht="15">
      <c r="A541" s="44" t="s">
        <v>54</v>
      </c>
      <c r="B541" s="44"/>
      <c r="C541" s="44">
        <v>177.34</v>
      </c>
      <c r="D541" s="44">
        <v>88.91</v>
      </c>
      <c r="E541" s="44"/>
      <c r="F541" s="44">
        <v>339.35</v>
      </c>
      <c r="G541" s="44"/>
      <c r="H541" s="44">
        <f>SUM(C541:G541)</f>
        <v>605.6</v>
      </c>
    </row>
    <row r="542" spans="1:8" ht="15">
      <c r="A542" s="43" t="s">
        <v>55</v>
      </c>
      <c r="B542" s="43"/>
      <c r="C542" s="43">
        <f>SUM(C537:C541)</f>
        <v>416.56</v>
      </c>
      <c r="D542" s="43">
        <f>SUM(D537:D541)</f>
        <v>213.44</v>
      </c>
      <c r="E542" s="43">
        <f>SUM(E537:E541)</f>
        <v>5.56</v>
      </c>
      <c r="F542" s="43">
        <f>SUM(F537:F541)</f>
        <v>498.39000000000004</v>
      </c>
      <c r="G542" s="43"/>
      <c r="H542" s="43">
        <f>SUM(H537:H541)</f>
        <v>1133.95</v>
      </c>
    </row>
    <row r="543" spans="1:8" ht="15">
      <c r="A543" s="44"/>
      <c r="B543" s="44"/>
      <c r="C543" s="44"/>
      <c r="D543" s="44"/>
      <c r="E543" s="44"/>
      <c r="F543" s="44"/>
      <c r="G543" s="44"/>
      <c r="H543" s="44"/>
    </row>
    <row r="544" spans="1:8" ht="15">
      <c r="A544" s="52" t="s">
        <v>56</v>
      </c>
      <c r="B544" s="44"/>
      <c r="C544" s="45" t="s">
        <v>45</v>
      </c>
      <c r="D544" s="45" t="s">
        <v>46</v>
      </c>
      <c r="E544" s="45" t="s">
        <v>58</v>
      </c>
      <c r="F544" s="45" t="s">
        <v>59</v>
      </c>
      <c r="G544" s="45"/>
      <c r="H544" s="45"/>
    </row>
    <row r="545" spans="1:8" ht="15">
      <c r="A545" s="44" t="s">
        <v>50</v>
      </c>
      <c r="B545" s="44"/>
      <c r="C545" s="44">
        <v>0</v>
      </c>
      <c r="D545" s="44">
        <v>0</v>
      </c>
      <c r="E545" s="44">
        <v>0</v>
      </c>
      <c r="F545" s="44">
        <v>0</v>
      </c>
      <c r="G545" s="44"/>
      <c r="H545" s="44">
        <v>0</v>
      </c>
    </row>
    <row r="546" spans="1:8" ht="15">
      <c r="A546" s="44" t="s">
        <v>51</v>
      </c>
      <c r="B546" s="44"/>
      <c r="C546" s="44">
        <v>0</v>
      </c>
      <c r="D546" s="44">
        <v>0</v>
      </c>
      <c r="E546" s="44">
        <v>0</v>
      </c>
      <c r="F546" s="44">
        <v>0</v>
      </c>
      <c r="G546" s="44"/>
      <c r="H546" s="44">
        <v>0</v>
      </c>
    </row>
    <row r="547" spans="1:8" ht="15">
      <c r="A547" s="44" t="s">
        <v>52</v>
      </c>
      <c r="B547" s="44"/>
      <c r="C547" s="44">
        <v>0</v>
      </c>
      <c r="D547" s="44">
        <v>0</v>
      </c>
      <c r="E547" s="44">
        <v>0</v>
      </c>
      <c r="F547" s="44">
        <v>0</v>
      </c>
      <c r="G547" s="44"/>
      <c r="H547" s="44">
        <v>0</v>
      </c>
    </row>
    <row r="548" spans="1:8" ht="15">
      <c r="A548" s="44" t="s">
        <v>53</v>
      </c>
      <c r="B548" s="44"/>
      <c r="C548" s="44">
        <v>0</v>
      </c>
      <c r="D548" s="44">
        <v>0</v>
      </c>
      <c r="E548" s="44">
        <v>0</v>
      </c>
      <c r="F548" s="44">
        <v>0</v>
      </c>
      <c r="G548" s="44"/>
      <c r="H548" s="44">
        <v>0</v>
      </c>
    </row>
    <row r="549" spans="1:8" ht="15">
      <c r="A549" s="44" t="s">
        <v>54</v>
      </c>
      <c r="B549" s="44"/>
      <c r="C549" s="44">
        <v>0</v>
      </c>
      <c r="D549" s="44">
        <v>0</v>
      </c>
      <c r="E549" s="44">
        <v>0</v>
      </c>
      <c r="F549" s="44">
        <v>0</v>
      </c>
      <c r="G549" s="44"/>
      <c r="H549" s="44">
        <v>0</v>
      </c>
    </row>
    <row r="550" spans="1:8" ht="15">
      <c r="A550" s="43" t="s">
        <v>55</v>
      </c>
      <c r="B550" s="43"/>
      <c r="C550" s="43">
        <v>0</v>
      </c>
      <c r="D550" s="43">
        <v>0</v>
      </c>
      <c r="E550" s="43">
        <v>0</v>
      </c>
      <c r="F550" s="43">
        <v>0</v>
      </c>
      <c r="G550" s="43"/>
      <c r="H550" s="43">
        <v>0</v>
      </c>
    </row>
    <row r="551" spans="1:8" ht="15">
      <c r="A551" s="44"/>
      <c r="B551" s="44"/>
      <c r="C551" s="44"/>
      <c r="D551" s="44"/>
      <c r="E551" s="44"/>
      <c r="F551" s="44"/>
      <c r="G551" s="44"/>
      <c r="H551" s="44"/>
    </row>
    <row r="552" spans="1:8" ht="15">
      <c r="A552" s="43" t="s">
        <v>57</v>
      </c>
      <c r="B552" s="44"/>
      <c r="C552" s="45" t="s">
        <v>45</v>
      </c>
      <c r="D552" s="45" t="s">
        <v>46</v>
      </c>
      <c r="E552" s="45" t="s">
        <v>58</v>
      </c>
      <c r="F552" s="45" t="s">
        <v>59</v>
      </c>
      <c r="G552" s="45"/>
      <c r="H552" s="45"/>
    </row>
    <row r="553" spans="1:8" ht="15">
      <c r="A553" s="52" t="s">
        <v>44</v>
      </c>
      <c r="B553" s="44"/>
      <c r="C553" s="45" t="s">
        <v>60</v>
      </c>
      <c r="D553" s="45" t="s">
        <v>61</v>
      </c>
      <c r="E553" s="45" t="s">
        <v>62</v>
      </c>
      <c r="F553" s="45" t="s">
        <v>62</v>
      </c>
      <c r="G553" s="45"/>
      <c r="H553" s="45" t="s">
        <v>49</v>
      </c>
    </row>
    <row r="554" spans="1:8" ht="15">
      <c r="A554" s="44" t="s">
        <v>63</v>
      </c>
      <c r="B554" s="44"/>
      <c r="C554" s="49">
        <f>SUM(C537+C538)*45</f>
        <v>10138.5</v>
      </c>
      <c r="D554" s="49">
        <f>SUM(D537+D538)*86</f>
        <v>8668.8</v>
      </c>
      <c r="E554" s="49">
        <f>SUM(E537+E538)*37.5</f>
        <v>208.49999999999997</v>
      </c>
      <c r="F554" s="49">
        <f>SUM(F537+F538)*37.5</f>
        <v>2526</v>
      </c>
      <c r="G554" s="44"/>
      <c r="H554" s="49">
        <f>SUM(C554:G554)</f>
        <v>21541.8</v>
      </c>
    </row>
    <row r="555" spans="1:8" ht="15">
      <c r="A555" s="44" t="s">
        <v>64</v>
      </c>
      <c r="B555" s="44"/>
      <c r="C555" s="49">
        <f>SUM(C539+C540)*45</f>
        <v>626.4</v>
      </c>
      <c r="D555" s="49">
        <f>SUM(D539+D540)*86</f>
        <v>2040.78</v>
      </c>
      <c r="E555" s="49">
        <v>0</v>
      </c>
      <c r="F555" s="49">
        <f>SUM(F539+F540)*37.5</f>
        <v>3438.0000000000005</v>
      </c>
      <c r="G555" s="44"/>
      <c r="H555" s="49">
        <f>SUM(C555:G555)</f>
        <v>6105.18</v>
      </c>
    </row>
    <row r="556" spans="1:8" ht="15">
      <c r="A556" s="44" t="s">
        <v>54</v>
      </c>
      <c r="B556" s="44"/>
      <c r="C556" s="49">
        <f>SUM(C541)*45</f>
        <v>7980.3</v>
      </c>
      <c r="D556" s="49">
        <f>SUM(D541)*86</f>
        <v>7646.259999999999</v>
      </c>
      <c r="E556" s="49">
        <v>0</v>
      </c>
      <c r="F556" s="49">
        <f>SUM(F541)*37.5</f>
        <v>12725.625</v>
      </c>
      <c r="G556" s="44"/>
      <c r="H556" s="49">
        <f>SUM(C556:G556)</f>
        <v>28352.184999999998</v>
      </c>
    </row>
    <row r="557" spans="1:8" ht="15">
      <c r="A557" s="44" t="s">
        <v>65</v>
      </c>
      <c r="B557" s="44"/>
      <c r="C557" s="49">
        <f>SUM(C554:C556)</f>
        <v>18745.2</v>
      </c>
      <c r="D557" s="49">
        <f>SUM(D554:D556)</f>
        <v>18355.84</v>
      </c>
      <c r="E557" s="49">
        <f>SUM(E554:E556)</f>
        <v>208.49999999999997</v>
      </c>
      <c r="F557" s="49">
        <f>SUM(F554:F556)</f>
        <v>18689.625</v>
      </c>
      <c r="G557" s="44"/>
      <c r="H557" s="49">
        <f>SUM(C557:G557)</f>
        <v>55999.165</v>
      </c>
    </row>
    <row r="558" spans="1:8" ht="15">
      <c r="A558" s="44"/>
      <c r="B558" s="44"/>
      <c r="C558" s="44"/>
      <c r="D558" s="44"/>
      <c r="E558" s="44"/>
      <c r="F558" s="44"/>
      <c r="G558" s="44"/>
      <c r="H558" s="44"/>
    </row>
    <row r="559" spans="1:8" ht="15">
      <c r="A559" s="52" t="s">
        <v>56</v>
      </c>
      <c r="B559" s="44"/>
      <c r="C559" s="45" t="s">
        <v>45</v>
      </c>
      <c r="D559" s="45" t="s">
        <v>46</v>
      </c>
      <c r="E559" s="45" t="s">
        <v>58</v>
      </c>
      <c r="F559" s="45" t="s">
        <v>59</v>
      </c>
      <c r="G559" s="45"/>
      <c r="H559" s="45"/>
    </row>
    <row r="560" spans="1:8" ht="15">
      <c r="A560" s="44" t="s">
        <v>63</v>
      </c>
      <c r="B560" s="44"/>
      <c r="C560" s="49">
        <v>0</v>
      </c>
      <c r="D560" s="49">
        <v>0</v>
      </c>
      <c r="E560" s="49">
        <v>0</v>
      </c>
      <c r="F560" s="49">
        <v>0</v>
      </c>
      <c r="G560" s="44"/>
      <c r="H560" s="49">
        <v>0</v>
      </c>
    </row>
    <row r="561" spans="1:8" ht="15">
      <c r="A561" s="44" t="s">
        <v>64</v>
      </c>
      <c r="B561" s="44"/>
      <c r="C561" s="49">
        <v>0</v>
      </c>
      <c r="D561" s="49">
        <v>0</v>
      </c>
      <c r="E561" s="49">
        <v>0</v>
      </c>
      <c r="F561" s="49">
        <v>0</v>
      </c>
      <c r="G561" s="44"/>
      <c r="H561" s="49">
        <v>0</v>
      </c>
    </row>
    <row r="562" spans="1:8" ht="15">
      <c r="A562" s="44" t="s">
        <v>54</v>
      </c>
      <c r="B562" s="44"/>
      <c r="C562" s="49">
        <v>0</v>
      </c>
      <c r="D562" s="49">
        <v>0</v>
      </c>
      <c r="E562" s="49">
        <v>0</v>
      </c>
      <c r="F562" s="49">
        <v>0</v>
      </c>
      <c r="G562" s="44"/>
      <c r="H562" s="49">
        <v>0</v>
      </c>
    </row>
    <row r="563" spans="1:8" ht="15">
      <c r="A563" s="43" t="s">
        <v>65</v>
      </c>
      <c r="B563" s="43"/>
      <c r="C563" s="53">
        <v>0</v>
      </c>
      <c r="D563" s="53">
        <v>0</v>
      </c>
      <c r="E563" s="53">
        <v>0</v>
      </c>
      <c r="F563" s="53">
        <v>0</v>
      </c>
      <c r="G563" s="43"/>
      <c r="H563" s="53">
        <v>0</v>
      </c>
    </row>
    <row r="564" spans="1:8" ht="15">
      <c r="A564" s="44"/>
      <c r="B564" s="44"/>
      <c r="C564" s="44"/>
      <c r="D564" s="44"/>
      <c r="E564" s="44"/>
      <c r="F564" s="44"/>
      <c r="G564" s="44"/>
      <c r="H564" s="44"/>
    </row>
    <row r="565" spans="1:8" ht="15">
      <c r="A565" s="44"/>
      <c r="B565" s="44"/>
      <c r="C565" s="44"/>
      <c r="D565" s="44"/>
      <c r="E565" s="44"/>
      <c r="F565" s="44"/>
      <c r="G565" s="44"/>
      <c r="H565" s="44"/>
    </row>
    <row r="566" spans="1:8" ht="15">
      <c r="A566" s="43" t="s">
        <v>66</v>
      </c>
      <c r="B566" s="43"/>
      <c r="C566" s="44"/>
      <c r="D566" s="44"/>
      <c r="E566" s="44"/>
      <c r="F566" s="44"/>
      <c r="G566" s="44"/>
      <c r="H566" s="44"/>
    </row>
    <row r="567" spans="1:8" ht="15">
      <c r="A567" s="43" t="s">
        <v>67</v>
      </c>
      <c r="B567" s="53">
        <f>SUM(H557+H563)</f>
        <v>55999.165</v>
      </c>
      <c r="C567" s="44"/>
      <c r="D567" s="44"/>
      <c r="E567" s="44"/>
      <c r="F567" s="44"/>
      <c r="G567" s="44"/>
      <c r="H567" s="44"/>
    </row>
    <row r="568" spans="1:8" ht="15">
      <c r="A568" s="43"/>
      <c r="B568" s="43"/>
      <c r="C568" s="44"/>
      <c r="D568" s="44"/>
      <c r="E568" s="44"/>
      <c r="F568" s="44"/>
      <c r="G568" s="44"/>
      <c r="H568" s="44"/>
    </row>
    <row r="569" spans="1:8" ht="15">
      <c r="A569" s="43" t="s">
        <v>66</v>
      </c>
      <c r="B569" s="43"/>
      <c r="C569" s="44"/>
      <c r="D569" s="44"/>
      <c r="E569" s="44"/>
      <c r="F569" s="44"/>
      <c r="G569" s="44"/>
      <c r="H569" s="44"/>
    </row>
    <row r="570" spans="1:8" ht="15">
      <c r="A570" s="43" t="s">
        <v>68</v>
      </c>
      <c r="B570" s="53">
        <v>0</v>
      </c>
      <c r="C570" s="44"/>
      <c r="D570" s="44"/>
      <c r="E570" s="44"/>
      <c r="F570" s="44"/>
      <c r="G570" s="44"/>
      <c r="H570" s="44"/>
    </row>
    <row r="571" spans="1:8" ht="15">
      <c r="A571" s="43"/>
      <c r="B571" s="43"/>
      <c r="C571" s="44"/>
      <c r="D571" s="44"/>
      <c r="E571" s="44"/>
      <c r="F571" s="44"/>
      <c r="G571" s="44"/>
      <c r="H571" s="44"/>
    </row>
    <row r="572" spans="1:8" ht="15">
      <c r="A572" s="43" t="s">
        <v>69</v>
      </c>
      <c r="B572" s="53">
        <f>SUM(B567+B570)</f>
        <v>55999.165</v>
      </c>
      <c r="C572" s="44"/>
      <c r="D572" s="44"/>
      <c r="E572" s="44"/>
      <c r="F572" s="44"/>
      <c r="G572" s="44"/>
      <c r="H572" s="44"/>
    </row>
    <row r="573" spans="1:8" ht="15">
      <c r="A573" s="43"/>
      <c r="B573" s="43"/>
      <c r="C573" s="44"/>
      <c r="D573" s="44"/>
      <c r="E573" s="44"/>
      <c r="F573" s="44"/>
      <c r="G573" s="44"/>
      <c r="H573" s="44"/>
    </row>
    <row r="574" spans="1:8" ht="15">
      <c r="A574" s="43" t="s">
        <v>70</v>
      </c>
      <c r="B574" s="58"/>
      <c r="C574" s="44"/>
      <c r="D574" s="44"/>
      <c r="E574" s="44"/>
      <c r="F574" s="44"/>
      <c r="G574" s="44"/>
      <c r="H574" s="44"/>
    </row>
    <row r="575" spans="1:8" ht="15">
      <c r="A575" s="43" t="s">
        <v>71</v>
      </c>
      <c r="B575" s="58">
        <v>34502.29</v>
      </c>
      <c r="C575" s="44"/>
      <c r="D575" s="44"/>
      <c r="E575" s="44"/>
      <c r="F575" s="44"/>
      <c r="G575" s="44"/>
      <c r="H575" s="44"/>
    </row>
    <row r="576" spans="1:8" ht="15">
      <c r="A576" s="43"/>
      <c r="B576" s="43"/>
      <c r="C576" s="44"/>
      <c r="D576" s="44"/>
      <c r="E576" s="44"/>
      <c r="F576" s="44"/>
      <c r="G576" s="44"/>
      <c r="H576" s="44"/>
    </row>
    <row r="577" spans="1:8" ht="15">
      <c r="A577" s="43" t="s">
        <v>72</v>
      </c>
      <c r="B577" s="53">
        <f>SUM(B572)-B575</f>
        <v>21496.875</v>
      </c>
      <c r="C577" s="44"/>
      <c r="D577" s="44"/>
      <c r="E577" s="44"/>
      <c r="F577" s="44"/>
      <c r="G577" s="44"/>
      <c r="H577" s="44"/>
    </row>
    <row r="578" spans="1:8" ht="15.75">
      <c r="A578" s="50"/>
      <c r="B578" s="50"/>
      <c r="C578" s="50"/>
      <c r="D578" s="50"/>
      <c r="E578" s="50"/>
      <c r="F578" s="50"/>
      <c r="G578" s="50"/>
      <c r="H578" s="50"/>
    </row>
    <row r="580" spans="1:8" ht="15.75">
      <c r="A580" s="36">
        <v>36982</v>
      </c>
      <c r="B580" s="50"/>
      <c r="C580" s="50"/>
      <c r="D580" s="50"/>
      <c r="E580" s="50"/>
      <c r="F580" s="50"/>
      <c r="G580" s="50"/>
      <c r="H580" s="50"/>
    </row>
    <row r="581" spans="1:8" ht="15.75">
      <c r="A581" s="50"/>
      <c r="B581" s="50"/>
      <c r="C581" s="50"/>
      <c r="D581" s="50"/>
      <c r="E581" s="50"/>
      <c r="F581" s="50"/>
      <c r="G581" s="50"/>
      <c r="H581" s="50"/>
    </row>
    <row r="582" spans="1:8" ht="15.75">
      <c r="A582" s="43" t="s">
        <v>38</v>
      </c>
      <c r="B582" s="43">
        <v>474.51</v>
      </c>
      <c r="C582" s="50"/>
      <c r="D582" s="50"/>
      <c r="E582" s="50"/>
      <c r="F582" s="50"/>
      <c r="G582" s="50"/>
      <c r="H582" s="50"/>
    </row>
    <row r="583" spans="1:8" ht="15.75">
      <c r="A583" s="44"/>
      <c r="B583" s="43"/>
      <c r="C583" s="50"/>
      <c r="D583" s="50"/>
      <c r="E583" s="50"/>
      <c r="F583" s="50"/>
      <c r="G583" s="50"/>
      <c r="H583" s="50"/>
    </row>
    <row r="584" spans="1:8" ht="15.75">
      <c r="A584" s="43" t="s">
        <v>40</v>
      </c>
      <c r="B584" s="43">
        <f>565.99+45.34</f>
        <v>611.33</v>
      </c>
      <c r="C584" s="50"/>
      <c r="D584" s="50"/>
      <c r="E584" s="50"/>
      <c r="F584" s="50"/>
      <c r="G584" s="50"/>
      <c r="H584" s="50"/>
    </row>
    <row r="585" spans="1:8" ht="15.75">
      <c r="A585" s="44"/>
      <c r="B585" s="43"/>
      <c r="C585" s="50"/>
      <c r="D585" s="50"/>
      <c r="E585" s="50"/>
      <c r="F585" s="50"/>
      <c r="G585" s="50"/>
      <c r="H585" s="50"/>
    </row>
    <row r="586" spans="1:8" ht="15.75">
      <c r="A586" s="43" t="s">
        <v>41</v>
      </c>
      <c r="B586" s="43">
        <f>SUM(B582:B584)</f>
        <v>1085.8400000000001</v>
      </c>
      <c r="C586" t="s">
        <v>35</v>
      </c>
      <c r="D586" s="50"/>
      <c r="E586" s="50"/>
      <c r="F586" s="50"/>
      <c r="G586" s="50"/>
      <c r="H586" s="50"/>
    </row>
    <row r="587" spans="1:8" ht="15.75">
      <c r="A587" s="44"/>
      <c r="B587" s="43"/>
      <c r="C587" s="50"/>
      <c r="D587" s="50"/>
      <c r="E587" s="50"/>
      <c r="F587" s="50"/>
      <c r="G587" s="50"/>
      <c r="H587" s="50"/>
    </row>
    <row r="588" spans="1:8" ht="15.75">
      <c r="A588" s="43" t="s">
        <v>6</v>
      </c>
      <c r="B588" s="43">
        <f>SUM(B586)-B590</f>
        <v>310.84000000000015</v>
      </c>
      <c r="C588" s="50"/>
      <c r="D588" s="50"/>
      <c r="E588" s="50"/>
      <c r="F588" s="50"/>
      <c r="G588" s="50"/>
      <c r="H588" s="50"/>
    </row>
    <row r="589" spans="1:8" ht="15.75">
      <c r="A589" s="50"/>
      <c r="B589" s="51"/>
      <c r="C589" s="50"/>
      <c r="D589" s="50"/>
      <c r="E589" s="50"/>
      <c r="F589" s="50"/>
      <c r="G589" s="50"/>
      <c r="H589" s="50"/>
    </row>
    <row r="590" spans="1:8" ht="15">
      <c r="A590" s="43" t="s">
        <v>42</v>
      </c>
      <c r="B590" s="43">
        <v>775</v>
      </c>
      <c r="C590" s="44"/>
      <c r="D590" s="44"/>
      <c r="E590" s="44"/>
      <c r="F590" s="44"/>
      <c r="G590" s="44"/>
      <c r="H590" s="44"/>
    </row>
    <row r="591" spans="1:8" ht="15">
      <c r="A591" s="44"/>
      <c r="B591" s="44"/>
      <c r="C591" s="44"/>
      <c r="D591" s="44"/>
      <c r="E591" s="44"/>
      <c r="F591" s="44"/>
      <c r="G591" s="44"/>
      <c r="H591" s="44"/>
    </row>
    <row r="592" spans="1:8" ht="15">
      <c r="A592" s="44"/>
      <c r="B592" s="44"/>
      <c r="C592" s="44"/>
      <c r="D592" s="44"/>
      <c r="E592" s="44"/>
      <c r="F592" s="44"/>
      <c r="G592" s="44"/>
      <c r="H592" s="44"/>
    </row>
    <row r="593" spans="1:8" ht="15">
      <c r="A593" s="43" t="s">
        <v>43</v>
      </c>
      <c r="B593" s="44"/>
      <c r="C593" s="44"/>
      <c r="D593" s="44"/>
      <c r="E593" s="44"/>
      <c r="F593" s="44"/>
      <c r="G593" s="44"/>
      <c r="H593" s="44"/>
    </row>
    <row r="594" spans="1:8" ht="15">
      <c r="A594" s="52" t="s">
        <v>44</v>
      </c>
      <c r="B594" s="44"/>
      <c r="C594" s="45" t="s">
        <v>45</v>
      </c>
      <c r="D594" s="45" t="s">
        <v>46</v>
      </c>
      <c r="E594" s="45" t="s">
        <v>47</v>
      </c>
      <c r="F594" s="45" t="s">
        <v>48</v>
      </c>
      <c r="G594" s="45"/>
      <c r="H594" s="45" t="s">
        <v>49</v>
      </c>
    </row>
    <row r="595" spans="1:8" ht="15">
      <c r="A595" s="44" t="s">
        <v>50</v>
      </c>
      <c r="B595" s="44"/>
      <c r="C595" s="44">
        <v>81.4</v>
      </c>
      <c r="D595" s="44">
        <v>45.73</v>
      </c>
      <c r="E595" s="44"/>
      <c r="F595" s="44"/>
      <c r="G595" s="44"/>
      <c r="H595" s="44">
        <f>SUM(C595:G595)</f>
        <v>127.13</v>
      </c>
    </row>
    <row r="596" spans="1:8" ht="15">
      <c r="A596" s="44" t="s">
        <v>51</v>
      </c>
      <c r="B596" s="44"/>
      <c r="C596" s="44">
        <f>0.95+128.65</f>
        <v>129.6</v>
      </c>
      <c r="D596" s="44">
        <v>49.35</v>
      </c>
      <c r="E596" s="44">
        <v>2.37</v>
      </c>
      <c r="F596" s="44">
        <f>0.52+51.91+7.18</f>
        <v>59.61</v>
      </c>
      <c r="G596" s="44"/>
      <c r="H596" s="44">
        <f>SUM(C596:G596)</f>
        <v>240.93</v>
      </c>
    </row>
    <row r="597" spans="1:8" ht="15">
      <c r="A597" s="44" t="s">
        <v>52</v>
      </c>
      <c r="B597" s="44"/>
      <c r="C597" s="44">
        <v>0.98</v>
      </c>
      <c r="D597" s="44">
        <v>19</v>
      </c>
      <c r="E597" s="44"/>
      <c r="F597" s="44">
        <f>0.74+18.45</f>
        <v>19.189999999999998</v>
      </c>
      <c r="G597" s="44"/>
      <c r="H597" s="44">
        <f>SUM(C597:G597)</f>
        <v>39.17</v>
      </c>
    </row>
    <row r="598" spans="1:8" ht="15">
      <c r="A598" s="44" t="s">
        <v>53</v>
      </c>
      <c r="B598" s="44"/>
      <c r="C598" s="44">
        <v>1.04</v>
      </c>
      <c r="D598" s="44">
        <v>4.8</v>
      </c>
      <c r="E598" s="44"/>
      <c r="F598" s="44">
        <f>13.21+15.6+15.54+3.28+7.69+4.31+1.81</f>
        <v>61.440000000000005</v>
      </c>
      <c r="G598" s="44"/>
      <c r="H598" s="44">
        <f>SUM(C598:G598)</f>
        <v>67.28</v>
      </c>
    </row>
    <row r="599" spans="1:8" ht="15">
      <c r="A599" s="44" t="s">
        <v>54</v>
      </c>
      <c r="B599" s="44"/>
      <c r="C599" s="44">
        <v>149.91</v>
      </c>
      <c r="D599" s="44">
        <v>84.19</v>
      </c>
      <c r="E599" s="44"/>
      <c r="F599" s="44">
        <v>331.89</v>
      </c>
      <c r="G599" s="44"/>
      <c r="H599" s="44">
        <f>SUM(C599:G599)</f>
        <v>565.99</v>
      </c>
    </row>
    <row r="600" spans="1:8" ht="15">
      <c r="A600" s="43" t="s">
        <v>55</v>
      </c>
      <c r="B600" s="43"/>
      <c r="C600" s="43">
        <f>SUM(C595:C599)</f>
        <v>362.92999999999995</v>
      </c>
      <c r="D600" s="43">
        <f>SUM(D595:D599)</f>
        <v>203.07</v>
      </c>
      <c r="E600" s="43">
        <f>SUM(E595:E599)</f>
        <v>2.37</v>
      </c>
      <c r="F600" s="43">
        <f>SUM(F596:F599)</f>
        <v>472.13</v>
      </c>
      <c r="G600" s="43"/>
      <c r="H600" s="43">
        <f>SUM(H595:H599)</f>
        <v>1040.5</v>
      </c>
    </row>
    <row r="601" spans="1:8" ht="15">
      <c r="A601" s="44"/>
      <c r="B601" s="44"/>
      <c r="C601" s="44"/>
      <c r="D601" s="44"/>
      <c r="E601" s="44"/>
      <c r="F601" s="44"/>
      <c r="G601" s="44"/>
      <c r="H601" s="44"/>
    </row>
    <row r="602" spans="1:8" ht="15">
      <c r="A602" s="52" t="s">
        <v>56</v>
      </c>
      <c r="B602" s="44"/>
      <c r="C602" s="45" t="s">
        <v>45</v>
      </c>
      <c r="D602" s="45" t="s">
        <v>46</v>
      </c>
      <c r="E602" s="45" t="s">
        <v>58</v>
      </c>
      <c r="F602" s="45" t="s">
        <v>59</v>
      </c>
      <c r="G602" s="45"/>
      <c r="H602" s="45"/>
    </row>
    <row r="603" spans="1:8" ht="15">
      <c r="A603" s="44" t="s">
        <v>50</v>
      </c>
      <c r="B603" s="44"/>
      <c r="C603" s="44">
        <v>0</v>
      </c>
      <c r="D603" s="44">
        <v>0</v>
      </c>
      <c r="E603" s="44">
        <v>0</v>
      </c>
      <c r="F603" s="44">
        <v>0</v>
      </c>
      <c r="G603" s="44"/>
      <c r="H603" s="44">
        <v>0</v>
      </c>
    </row>
    <row r="604" spans="1:8" ht="15">
      <c r="A604" s="44" t="s">
        <v>51</v>
      </c>
      <c r="B604" s="44"/>
      <c r="C604" s="44">
        <v>0</v>
      </c>
      <c r="D604" s="44">
        <v>0</v>
      </c>
      <c r="E604" s="44">
        <v>0</v>
      </c>
      <c r="F604" s="44">
        <v>0</v>
      </c>
      <c r="G604" s="44"/>
      <c r="H604" s="44">
        <v>0</v>
      </c>
    </row>
    <row r="605" spans="1:8" ht="15">
      <c r="A605" s="44" t="s">
        <v>52</v>
      </c>
      <c r="B605" s="44"/>
      <c r="C605" s="44">
        <v>0</v>
      </c>
      <c r="D605" s="44">
        <v>0</v>
      </c>
      <c r="E605" s="44">
        <v>0</v>
      </c>
      <c r="F605" s="44">
        <v>0</v>
      </c>
      <c r="G605" s="44"/>
      <c r="H605" s="44">
        <v>0</v>
      </c>
    </row>
    <row r="606" spans="1:8" ht="15">
      <c r="A606" s="44" t="s">
        <v>53</v>
      </c>
      <c r="B606" s="44"/>
      <c r="C606" s="44">
        <v>0</v>
      </c>
      <c r="D606" s="44">
        <v>0</v>
      </c>
      <c r="E606" s="44">
        <v>0</v>
      </c>
      <c r="F606" s="44">
        <v>0</v>
      </c>
      <c r="G606" s="44"/>
      <c r="H606" s="44">
        <v>0</v>
      </c>
    </row>
    <row r="607" spans="1:8" ht="15">
      <c r="A607" s="44" t="s">
        <v>54</v>
      </c>
      <c r="B607" s="44"/>
      <c r="C607" s="44">
        <v>0</v>
      </c>
      <c r="D607" s="44">
        <v>0</v>
      </c>
      <c r="E607" s="44">
        <v>0</v>
      </c>
      <c r="F607" s="44">
        <v>0</v>
      </c>
      <c r="G607" s="44"/>
      <c r="H607" s="44">
        <v>0</v>
      </c>
    </row>
    <row r="608" spans="1:8" ht="15">
      <c r="A608" s="43" t="s">
        <v>55</v>
      </c>
      <c r="B608" s="43"/>
      <c r="C608" s="43">
        <v>0</v>
      </c>
      <c r="D608" s="43">
        <v>0</v>
      </c>
      <c r="E608" s="43">
        <v>0</v>
      </c>
      <c r="F608" s="43">
        <v>0</v>
      </c>
      <c r="G608" s="43"/>
      <c r="H608" s="43">
        <v>0</v>
      </c>
    </row>
    <row r="609" spans="1:8" ht="15">
      <c r="A609" s="44"/>
      <c r="B609" s="44"/>
      <c r="C609" s="44"/>
      <c r="D609" s="44"/>
      <c r="E609" s="44"/>
      <c r="F609" s="44"/>
      <c r="G609" s="44"/>
      <c r="H609" s="44"/>
    </row>
    <row r="610" spans="1:8" ht="15">
      <c r="A610" s="43" t="s">
        <v>57</v>
      </c>
      <c r="B610" s="44"/>
      <c r="C610" s="45" t="s">
        <v>45</v>
      </c>
      <c r="D610" s="45" t="s">
        <v>46</v>
      </c>
      <c r="E610" s="45" t="s">
        <v>58</v>
      </c>
      <c r="F610" s="45" t="s">
        <v>59</v>
      </c>
      <c r="G610" s="45"/>
      <c r="H610" s="45"/>
    </row>
    <row r="611" spans="1:8" ht="15">
      <c r="A611" s="52" t="s">
        <v>44</v>
      </c>
      <c r="B611" s="44"/>
      <c r="C611" s="45" t="s">
        <v>60</v>
      </c>
      <c r="D611" s="45" t="s">
        <v>61</v>
      </c>
      <c r="E611" s="45" t="s">
        <v>62</v>
      </c>
      <c r="F611" s="45" t="s">
        <v>62</v>
      </c>
      <c r="G611" s="45"/>
      <c r="H611" s="45" t="s">
        <v>49</v>
      </c>
    </row>
    <row r="612" spans="1:8" ht="15">
      <c r="A612" s="44" t="s">
        <v>63</v>
      </c>
      <c r="B612" s="44"/>
      <c r="C612" s="49">
        <f>SUM(C595+C596)*45</f>
        <v>9495</v>
      </c>
      <c r="D612" s="49">
        <f>SUM(D595+D596)*86</f>
        <v>8176.88</v>
      </c>
      <c r="E612" s="49">
        <f>SUM(E595)*37.5</f>
        <v>0</v>
      </c>
      <c r="F612" s="49">
        <f>SUM(F595+F596)*37.5</f>
        <v>2235.375</v>
      </c>
      <c r="G612" s="44"/>
      <c r="H612" s="49">
        <f>SUM(C612:G612)</f>
        <v>19907.255</v>
      </c>
    </row>
    <row r="613" spans="1:8" ht="15">
      <c r="A613" s="44" t="s">
        <v>64</v>
      </c>
      <c r="B613" s="44"/>
      <c r="C613" s="49">
        <f>SUM(C597+C598)*45</f>
        <v>90.9</v>
      </c>
      <c r="D613" s="49">
        <f>SUM(D597+D598)*86</f>
        <v>2046.8</v>
      </c>
      <c r="E613" s="49">
        <f>SUM(E596)*37.5</f>
        <v>88.875</v>
      </c>
      <c r="F613" s="49">
        <f>SUM(F597+F598)*37.5</f>
        <v>3023.625</v>
      </c>
      <c r="G613" s="44"/>
      <c r="H613" s="49">
        <f>SUM(C613:G613)</f>
        <v>5250.2</v>
      </c>
    </row>
    <row r="614" spans="1:8" ht="15">
      <c r="A614" s="44" t="s">
        <v>54</v>
      </c>
      <c r="B614" s="44"/>
      <c r="C614" s="49">
        <f>SUM(C599)*45</f>
        <v>6745.95</v>
      </c>
      <c r="D614" s="49">
        <f>SUM(D599)*86</f>
        <v>7240.34</v>
      </c>
      <c r="E614" s="49">
        <v>0</v>
      </c>
      <c r="F614" s="49">
        <f>SUM(F599)*37.5</f>
        <v>12445.875</v>
      </c>
      <c r="G614" s="44"/>
      <c r="H614" s="49">
        <f>SUM(C614:G614)</f>
        <v>26432.165</v>
      </c>
    </row>
    <row r="615" spans="1:8" ht="15">
      <c r="A615" s="44" t="s">
        <v>65</v>
      </c>
      <c r="B615" s="44"/>
      <c r="C615" s="49">
        <f>SUM(C612:C614)</f>
        <v>16331.849999999999</v>
      </c>
      <c r="D615" s="49">
        <f>SUM(D612:D614)</f>
        <v>17464.02</v>
      </c>
      <c r="E615" s="49">
        <f>SUM(E612:E614)</f>
        <v>88.875</v>
      </c>
      <c r="F615" s="49">
        <f>SUM(F612:F614)</f>
        <v>17704.875</v>
      </c>
      <c r="G615" s="44"/>
      <c r="H615" s="49">
        <f>SUM(H612:H614)</f>
        <v>51589.62</v>
      </c>
    </row>
    <row r="616" spans="1:8" ht="15">
      <c r="A616" s="44"/>
      <c r="B616" s="44"/>
      <c r="C616" s="44"/>
      <c r="D616" s="44"/>
      <c r="E616" s="44"/>
      <c r="F616" s="44"/>
      <c r="G616" s="44"/>
      <c r="H616" s="44"/>
    </row>
    <row r="617" spans="1:8" ht="15">
      <c r="A617" s="52" t="s">
        <v>56</v>
      </c>
      <c r="B617" s="44"/>
      <c r="C617" s="45" t="s">
        <v>45</v>
      </c>
      <c r="D617" s="45" t="s">
        <v>46</v>
      </c>
      <c r="E617" s="45" t="s">
        <v>58</v>
      </c>
      <c r="F617" s="45" t="s">
        <v>59</v>
      </c>
      <c r="G617" s="45"/>
      <c r="H617" s="45"/>
    </row>
    <row r="618" spans="1:8" ht="15">
      <c r="A618" s="44" t="s">
        <v>63</v>
      </c>
      <c r="B618" s="44"/>
      <c r="C618" s="49">
        <v>0</v>
      </c>
      <c r="D618" s="49">
        <v>0</v>
      </c>
      <c r="E618" s="49">
        <v>0</v>
      </c>
      <c r="F618" s="49">
        <v>0</v>
      </c>
      <c r="G618" s="44"/>
      <c r="H618" s="49">
        <v>0</v>
      </c>
    </row>
    <row r="619" spans="1:8" ht="15">
      <c r="A619" s="44" t="s">
        <v>64</v>
      </c>
      <c r="B619" s="44"/>
      <c r="C619" s="49">
        <v>0</v>
      </c>
      <c r="D619" s="49">
        <v>0</v>
      </c>
      <c r="E619" s="49">
        <v>0</v>
      </c>
      <c r="F619" s="49">
        <v>0</v>
      </c>
      <c r="G619" s="44"/>
      <c r="H619" s="49">
        <v>0</v>
      </c>
    </row>
    <row r="620" spans="1:8" ht="15">
      <c r="A620" s="44" t="s">
        <v>54</v>
      </c>
      <c r="B620" s="44"/>
      <c r="C620" s="49">
        <v>0</v>
      </c>
      <c r="D620" s="49">
        <v>0</v>
      </c>
      <c r="E620" s="49">
        <v>0</v>
      </c>
      <c r="F620" s="49">
        <v>0</v>
      </c>
      <c r="G620" s="44"/>
      <c r="H620" s="49">
        <v>0</v>
      </c>
    </row>
    <row r="621" spans="1:8" ht="15">
      <c r="A621" s="43" t="s">
        <v>65</v>
      </c>
      <c r="B621" s="43"/>
      <c r="C621" s="53">
        <v>0</v>
      </c>
      <c r="D621" s="53">
        <v>0</v>
      </c>
      <c r="E621" s="53">
        <v>0</v>
      </c>
      <c r="F621" s="53">
        <v>0</v>
      </c>
      <c r="G621" s="43"/>
      <c r="H621" s="53">
        <v>0</v>
      </c>
    </row>
    <row r="622" spans="1:8" ht="15">
      <c r="A622" s="44"/>
      <c r="B622" s="44"/>
      <c r="C622" s="44"/>
      <c r="D622" s="44"/>
      <c r="E622" s="44"/>
      <c r="F622" s="44"/>
      <c r="G622" s="44"/>
      <c r="H622" s="44"/>
    </row>
    <row r="623" spans="1:8" ht="15">
      <c r="A623" s="44"/>
      <c r="B623" s="44"/>
      <c r="C623" s="44"/>
      <c r="D623" s="44"/>
      <c r="E623" s="44"/>
      <c r="F623" s="44"/>
      <c r="G623" s="44"/>
      <c r="H623" s="44"/>
    </row>
    <row r="624" spans="1:8" ht="15">
      <c r="A624" s="43" t="s">
        <v>66</v>
      </c>
      <c r="B624" s="43"/>
      <c r="C624" s="44"/>
      <c r="D624" s="44"/>
      <c r="E624" s="44"/>
      <c r="F624" s="44"/>
      <c r="G624" s="44"/>
      <c r="H624" s="44"/>
    </row>
    <row r="625" spans="1:8" ht="15">
      <c r="A625" s="43" t="s">
        <v>67</v>
      </c>
      <c r="B625" s="53">
        <f>SUM(H615+H621)</f>
        <v>51589.62</v>
      </c>
      <c r="C625" s="44"/>
      <c r="D625" s="44"/>
      <c r="E625" s="44"/>
      <c r="F625" s="44"/>
      <c r="G625" s="44"/>
      <c r="H625" s="44"/>
    </row>
    <row r="626" spans="1:8" ht="15">
      <c r="A626" s="43"/>
      <c r="B626" s="43"/>
      <c r="C626" s="44"/>
      <c r="D626" s="44"/>
      <c r="E626" s="44"/>
      <c r="F626" s="44"/>
      <c r="G626" s="44"/>
      <c r="H626" s="44"/>
    </row>
    <row r="627" spans="1:8" ht="15">
      <c r="A627" s="43" t="s">
        <v>66</v>
      </c>
      <c r="B627" s="43"/>
      <c r="C627" s="44"/>
      <c r="D627" s="44"/>
      <c r="E627" s="44"/>
      <c r="F627" s="44"/>
      <c r="G627" s="44"/>
      <c r="H627" s="44"/>
    </row>
    <row r="628" spans="1:8" ht="15">
      <c r="A628" s="43" t="s">
        <v>68</v>
      </c>
      <c r="B628" s="53">
        <v>0</v>
      </c>
      <c r="C628" s="44"/>
      <c r="D628" s="44"/>
      <c r="E628" s="44"/>
      <c r="F628" s="44"/>
      <c r="G628" s="44"/>
      <c r="H628" s="44"/>
    </row>
    <row r="629" spans="1:8" ht="15">
      <c r="A629" s="43"/>
      <c r="B629" s="43"/>
      <c r="C629" s="44"/>
      <c r="D629" s="44"/>
      <c r="E629" s="44"/>
      <c r="F629" s="44"/>
      <c r="G629" s="44"/>
      <c r="H629" s="44"/>
    </row>
    <row r="630" spans="1:8" ht="15">
      <c r="A630" s="43" t="s">
        <v>69</v>
      </c>
      <c r="B630" s="53">
        <f>SUM(B625+B628)</f>
        <v>51589.62</v>
      </c>
      <c r="C630" s="44"/>
      <c r="D630" s="44"/>
      <c r="E630" s="44"/>
      <c r="F630" s="44"/>
      <c r="G630" s="44"/>
      <c r="H630" s="44"/>
    </row>
    <row r="631" spans="1:8" ht="15">
      <c r="A631" s="43"/>
      <c r="B631" s="43"/>
      <c r="C631" s="44"/>
      <c r="D631" s="44"/>
      <c r="E631" s="44"/>
      <c r="F631" s="44"/>
      <c r="G631" s="44"/>
      <c r="H631" s="44"/>
    </row>
    <row r="632" spans="1:8" ht="15">
      <c r="A632" s="43" t="s">
        <v>70</v>
      </c>
      <c r="B632" s="58"/>
      <c r="C632" s="44"/>
      <c r="D632" s="44"/>
      <c r="E632" s="44"/>
      <c r="F632" s="44"/>
      <c r="G632" s="44"/>
      <c r="H632" s="44"/>
    </row>
    <row r="633" spans="1:8" ht="15">
      <c r="A633" s="43" t="s">
        <v>71</v>
      </c>
      <c r="B633" s="58">
        <v>41500.58</v>
      </c>
      <c r="C633" s="44"/>
      <c r="D633" s="44"/>
      <c r="E633" s="44"/>
      <c r="F633" s="44"/>
      <c r="G633" s="44"/>
      <c r="H633" s="44"/>
    </row>
    <row r="634" spans="1:8" ht="15">
      <c r="A634" s="43"/>
      <c r="B634" s="43"/>
      <c r="C634" s="44"/>
      <c r="D634" s="44"/>
      <c r="E634" s="44"/>
      <c r="F634" s="44"/>
      <c r="G634" s="44"/>
      <c r="H634" s="44"/>
    </row>
    <row r="635" spans="1:8" ht="15">
      <c r="A635" s="43" t="s">
        <v>72</v>
      </c>
      <c r="B635" s="53">
        <f>SUM(B630)-B633</f>
        <v>10089.04</v>
      </c>
      <c r="C635" s="44"/>
      <c r="D635" s="44"/>
      <c r="E635" s="44"/>
      <c r="F635" s="44"/>
      <c r="G635" s="44"/>
      <c r="H635" s="44"/>
    </row>
    <row r="636" spans="1:8" ht="15.75">
      <c r="A636" s="50"/>
      <c r="B636" s="50"/>
      <c r="C636" s="50"/>
      <c r="D636" s="50"/>
      <c r="E636" s="50"/>
      <c r="F636" s="50"/>
      <c r="G636" s="50"/>
      <c r="H636" s="50"/>
    </row>
    <row r="639" spans="1:8" ht="15.75">
      <c r="A639" s="60">
        <v>37012</v>
      </c>
      <c r="B639" s="50"/>
      <c r="C639" s="50"/>
      <c r="D639" s="50"/>
      <c r="E639" s="50"/>
      <c r="F639" s="50"/>
      <c r="G639" s="50"/>
      <c r="H639" s="50"/>
    </row>
    <row r="640" spans="1:8" ht="15.75">
      <c r="A640" s="50"/>
      <c r="B640" s="50"/>
      <c r="C640" s="50"/>
      <c r="D640" s="50"/>
      <c r="E640" s="50"/>
      <c r="F640" s="50"/>
      <c r="G640" s="50"/>
      <c r="H640" s="50"/>
    </row>
    <row r="641" spans="1:8" ht="15.75">
      <c r="A641" s="43" t="s">
        <v>38</v>
      </c>
      <c r="B641" s="43">
        <f>91.63+146.58+3.66+31.16+55.76+47.87+12.6+10.05+0.45+1.66+83.24+12.57+36.24</f>
        <v>533.47</v>
      </c>
      <c r="C641" s="50"/>
      <c r="D641" s="50"/>
      <c r="E641" s="50"/>
      <c r="F641" s="50"/>
      <c r="G641" s="50"/>
      <c r="H641" s="50"/>
    </row>
    <row r="642" spans="1:8" ht="15.75">
      <c r="A642" s="44"/>
      <c r="B642" s="43"/>
      <c r="C642" s="50"/>
      <c r="D642" s="50"/>
      <c r="E642" s="50"/>
      <c r="F642" s="50"/>
      <c r="G642" s="50"/>
      <c r="H642" s="50"/>
    </row>
    <row r="643" spans="1:8" ht="15.75">
      <c r="A643" s="43" t="s">
        <v>40</v>
      </c>
      <c r="B643" s="43">
        <f>SUM(H658)</f>
        <v>601.28</v>
      </c>
      <c r="C643" s="50"/>
      <c r="D643" s="50"/>
      <c r="E643" s="50"/>
      <c r="F643" s="50"/>
      <c r="G643" s="50"/>
      <c r="H643" s="50"/>
    </row>
    <row r="644" spans="1:8" ht="15.75">
      <c r="A644" s="44"/>
      <c r="B644" s="43"/>
      <c r="C644" s="50"/>
      <c r="D644" s="50"/>
      <c r="E644" s="50"/>
      <c r="F644" s="50"/>
      <c r="G644" s="50"/>
      <c r="H644" s="50"/>
    </row>
    <row r="645" spans="1:8" ht="15.75">
      <c r="A645" s="43" t="s">
        <v>41</v>
      </c>
      <c r="B645" s="43">
        <f>SUM(B641+B643)+57.73</f>
        <v>1192.48</v>
      </c>
      <c r="C645" t="s">
        <v>36</v>
      </c>
      <c r="D645" s="50"/>
      <c r="E645" s="50"/>
      <c r="F645" s="50"/>
      <c r="G645" s="50"/>
      <c r="H645" s="50"/>
    </row>
    <row r="646" spans="1:8" ht="15.75">
      <c r="A646" s="44"/>
      <c r="B646" s="43"/>
      <c r="C646" s="50"/>
      <c r="D646" s="50"/>
      <c r="E646" s="50"/>
      <c r="F646" s="50"/>
      <c r="G646" s="50"/>
      <c r="H646" s="50"/>
    </row>
    <row r="647" spans="1:8" ht="15.75">
      <c r="A647" s="43" t="s">
        <v>6</v>
      </c>
      <c r="B647" s="43">
        <f>SUM(B645)-B649</f>
        <v>417.48</v>
      </c>
      <c r="C647" s="50"/>
      <c r="D647" s="50"/>
      <c r="E647" s="50"/>
      <c r="F647" s="50"/>
      <c r="G647" s="50"/>
      <c r="H647" s="50"/>
    </row>
    <row r="648" spans="1:8" ht="15.75">
      <c r="A648" s="50"/>
      <c r="B648" s="51"/>
      <c r="C648" s="50"/>
      <c r="D648" s="50"/>
      <c r="E648" s="50"/>
      <c r="F648" s="50"/>
      <c r="G648" s="50"/>
      <c r="H648" s="50"/>
    </row>
    <row r="649" spans="1:8" ht="15">
      <c r="A649" s="43" t="s">
        <v>42</v>
      </c>
      <c r="B649" s="43">
        <v>775</v>
      </c>
      <c r="C649" s="44"/>
      <c r="D649" s="44"/>
      <c r="E649" s="44"/>
      <c r="F649" s="44"/>
      <c r="G649" s="44"/>
      <c r="H649" s="44"/>
    </row>
    <row r="650" spans="1:8" ht="15">
      <c r="A650" s="44"/>
      <c r="B650" s="44"/>
      <c r="C650" s="44"/>
      <c r="D650" s="44"/>
      <c r="E650" s="44"/>
      <c r="F650" s="44"/>
      <c r="G650" s="44"/>
      <c r="H650" s="44"/>
    </row>
    <row r="651" spans="1:8" ht="15">
      <c r="A651" s="44"/>
      <c r="B651" s="44"/>
      <c r="C651" s="44"/>
      <c r="D651" s="44"/>
      <c r="E651" s="44"/>
      <c r="F651" s="44"/>
      <c r="G651" s="44"/>
      <c r="H651" s="44"/>
    </row>
    <row r="652" spans="1:8" ht="15">
      <c r="A652" s="43" t="s">
        <v>43</v>
      </c>
      <c r="B652" s="44"/>
      <c r="C652" s="44"/>
      <c r="D652" s="44"/>
      <c r="E652" s="44"/>
      <c r="F652" s="44"/>
      <c r="G652" s="44"/>
      <c r="H652" s="44"/>
    </row>
    <row r="653" spans="1:8" ht="15">
      <c r="A653" s="52" t="s">
        <v>44</v>
      </c>
      <c r="B653" s="44"/>
      <c r="C653" s="45" t="s">
        <v>45</v>
      </c>
      <c r="D653" s="45" t="s">
        <v>46</v>
      </c>
      <c r="E653" s="45" t="s">
        <v>47</v>
      </c>
      <c r="F653" s="45" t="s">
        <v>48</v>
      </c>
      <c r="G653" s="45"/>
      <c r="H653" s="45" t="s">
        <v>49</v>
      </c>
    </row>
    <row r="654" spans="1:8" ht="15">
      <c r="A654" s="44" t="s">
        <v>50</v>
      </c>
      <c r="B654" s="44"/>
      <c r="C654" s="44">
        <v>91.63</v>
      </c>
      <c r="D654" s="44">
        <v>55.76</v>
      </c>
      <c r="E654" s="44">
        <v>0.45</v>
      </c>
      <c r="F654" s="44">
        <v>1.66</v>
      </c>
      <c r="G654" s="44"/>
      <c r="H654" s="44">
        <f>SUM(C654:G654)</f>
        <v>149.49999999999997</v>
      </c>
    </row>
    <row r="655" spans="1:8" ht="15">
      <c r="A655" s="44" t="s">
        <v>51</v>
      </c>
      <c r="B655" s="44"/>
      <c r="C655" s="44">
        <v>146.58</v>
      </c>
      <c r="D655" s="44">
        <v>47.87</v>
      </c>
      <c r="E655" s="44"/>
      <c r="F655" s="44">
        <v>83.24</v>
      </c>
      <c r="G655" s="44"/>
      <c r="H655" s="44">
        <f>SUM(C655:G655)</f>
        <v>277.69</v>
      </c>
    </row>
    <row r="656" spans="1:8" ht="15">
      <c r="A656" s="44" t="s">
        <v>52</v>
      </c>
      <c r="B656" s="44"/>
      <c r="C656" s="44">
        <v>3.66</v>
      </c>
      <c r="D656" s="44">
        <v>12.6</v>
      </c>
      <c r="E656" s="44"/>
      <c r="F656" s="44">
        <v>12.57</v>
      </c>
      <c r="G656" s="44"/>
      <c r="H656" s="44">
        <f>SUM(C656:G656)</f>
        <v>28.83</v>
      </c>
    </row>
    <row r="657" spans="1:8" ht="15">
      <c r="A657" s="44" t="s">
        <v>53</v>
      </c>
      <c r="B657" s="44"/>
      <c r="C657" s="44">
        <v>31.16</v>
      </c>
      <c r="D657" s="44">
        <v>10.05</v>
      </c>
      <c r="E657" s="44"/>
      <c r="F657" s="44">
        <v>36.24</v>
      </c>
      <c r="G657" s="44"/>
      <c r="H657" s="44">
        <f>SUM(C657:G657)</f>
        <v>77.45</v>
      </c>
    </row>
    <row r="658" spans="1:8" ht="15">
      <c r="A658" s="44" t="s">
        <v>54</v>
      </c>
      <c r="B658" s="44"/>
      <c r="C658" s="44">
        <v>153.47</v>
      </c>
      <c r="D658" s="44">
        <v>98.73</v>
      </c>
      <c r="E658" s="44"/>
      <c r="F658" s="44">
        <v>349.08</v>
      </c>
      <c r="G658" s="44"/>
      <c r="H658" s="44">
        <f>SUM(C658:G658)</f>
        <v>601.28</v>
      </c>
    </row>
    <row r="659" spans="1:8" ht="15">
      <c r="A659" s="43" t="s">
        <v>55</v>
      </c>
      <c r="B659" s="43"/>
      <c r="C659" s="43">
        <f>SUM(C654:C658)</f>
        <v>426.5</v>
      </c>
      <c r="D659" s="43">
        <f>SUM(D654:D658)</f>
        <v>225.01</v>
      </c>
      <c r="E659" s="43">
        <v>0</v>
      </c>
      <c r="F659" s="43">
        <f>SUM(F654:F658)</f>
        <v>482.78999999999996</v>
      </c>
      <c r="G659" s="43"/>
      <c r="H659" s="43">
        <f>SUM(H654:H658)</f>
        <v>1134.75</v>
      </c>
    </row>
    <row r="660" spans="1:8" ht="15">
      <c r="A660" s="44"/>
      <c r="B660" s="44"/>
      <c r="C660" s="44"/>
      <c r="D660" s="44"/>
      <c r="E660" s="44"/>
      <c r="F660" s="44"/>
      <c r="G660" s="44"/>
      <c r="H660" s="44"/>
    </row>
    <row r="661" spans="1:8" ht="15">
      <c r="A661" s="52" t="s">
        <v>56</v>
      </c>
      <c r="B661" s="44"/>
      <c r="C661" s="45" t="s">
        <v>45</v>
      </c>
      <c r="D661" s="45" t="s">
        <v>46</v>
      </c>
      <c r="E661" s="45" t="s">
        <v>58</v>
      </c>
      <c r="F661" s="45" t="s">
        <v>59</v>
      </c>
      <c r="G661" s="45"/>
      <c r="H661" s="45"/>
    </row>
    <row r="662" spans="1:8" ht="15">
      <c r="A662" s="44" t="s">
        <v>50</v>
      </c>
      <c r="B662" s="44"/>
      <c r="C662" s="44">
        <v>0</v>
      </c>
      <c r="D662" s="44">
        <v>0</v>
      </c>
      <c r="E662" s="44">
        <v>0</v>
      </c>
      <c r="F662" s="44">
        <v>0</v>
      </c>
      <c r="G662" s="44"/>
      <c r="H662" s="44">
        <v>0</v>
      </c>
    </row>
    <row r="663" spans="1:8" ht="15">
      <c r="A663" s="44" t="s">
        <v>51</v>
      </c>
      <c r="B663" s="44"/>
      <c r="C663" s="44">
        <v>0</v>
      </c>
      <c r="D663" s="44">
        <v>0</v>
      </c>
      <c r="E663" s="44">
        <v>0</v>
      </c>
      <c r="F663" s="44">
        <v>0</v>
      </c>
      <c r="G663" s="44"/>
      <c r="H663" s="44">
        <v>0</v>
      </c>
    </row>
    <row r="664" spans="1:8" ht="15">
      <c r="A664" s="44" t="s">
        <v>52</v>
      </c>
      <c r="B664" s="44"/>
      <c r="C664" s="44">
        <v>0</v>
      </c>
      <c r="D664" s="44">
        <v>0</v>
      </c>
      <c r="E664" s="44">
        <v>0</v>
      </c>
      <c r="F664" s="44">
        <v>0</v>
      </c>
      <c r="G664" s="44"/>
      <c r="H664" s="44">
        <v>0</v>
      </c>
    </row>
    <row r="665" spans="1:8" ht="15">
      <c r="A665" s="44" t="s">
        <v>53</v>
      </c>
      <c r="B665" s="44"/>
      <c r="C665" s="44">
        <v>0</v>
      </c>
      <c r="D665" s="44">
        <v>0</v>
      </c>
      <c r="E665" s="44">
        <v>0</v>
      </c>
      <c r="F665" s="44">
        <v>0</v>
      </c>
      <c r="G665" s="44"/>
      <c r="H665" s="44">
        <v>0</v>
      </c>
    </row>
    <row r="666" spans="1:8" ht="15">
      <c r="A666" s="44" t="s">
        <v>54</v>
      </c>
      <c r="B666" s="44"/>
      <c r="C666" s="44">
        <v>0</v>
      </c>
      <c r="D666" s="44">
        <v>0</v>
      </c>
      <c r="E666" s="44">
        <v>0</v>
      </c>
      <c r="F666" s="44">
        <v>0</v>
      </c>
      <c r="G666" s="44"/>
      <c r="H666" s="44">
        <v>0</v>
      </c>
    </row>
    <row r="667" spans="1:8" ht="15">
      <c r="A667" s="43" t="s">
        <v>55</v>
      </c>
      <c r="B667" s="43"/>
      <c r="C667" s="43">
        <v>0</v>
      </c>
      <c r="D667" s="43">
        <v>0</v>
      </c>
      <c r="E667" s="43">
        <v>0</v>
      </c>
      <c r="F667" s="43">
        <v>0</v>
      </c>
      <c r="G667" s="43"/>
      <c r="H667" s="43">
        <v>0</v>
      </c>
    </row>
    <row r="668" spans="1:8" ht="15">
      <c r="A668" s="44"/>
      <c r="B668" s="44"/>
      <c r="C668" s="44"/>
      <c r="D668" s="44"/>
      <c r="E668" s="44"/>
      <c r="F668" s="44"/>
      <c r="G668" s="44"/>
      <c r="H668" s="44"/>
    </row>
    <row r="669" spans="1:8" ht="15">
      <c r="A669" s="43" t="s">
        <v>57</v>
      </c>
      <c r="B669" s="44"/>
      <c r="C669" s="45" t="s">
        <v>45</v>
      </c>
      <c r="D669" s="45" t="s">
        <v>46</v>
      </c>
      <c r="E669" s="45" t="s">
        <v>58</v>
      </c>
      <c r="F669" s="45" t="s">
        <v>59</v>
      </c>
      <c r="G669" s="45"/>
      <c r="H669" s="45"/>
    </row>
    <row r="670" spans="1:8" ht="15">
      <c r="A670" s="52" t="s">
        <v>44</v>
      </c>
      <c r="B670" s="44"/>
      <c r="C670" s="45" t="s">
        <v>60</v>
      </c>
      <c r="D670" s="45" t="s">
        <v>61</v>
      </c>
      <c r="E670" s="45" t="s">
        <v>62</v>
      </c>
      <c r="F670" s="45" t="s">
        <v>62</v>
      </c>
      <c r="G670" s="45"/>
      <c r="H670" s="45" t="s">
        <v>49</v>
      </c>
    </row>
    <row r="671" spans="1:8" ht="15">
      <c r="A671" s="44" t="s">
        <v>63</v>
      </c>
      <c r="B671" s="44"/>
      <c r="C671" s="49">
        <f>SUM(C654+C655)*45</f>
        <v>10719.45</v>
      </c>
      <c r="D671" s="49">
        <f>SUM(D654+D655)*86</f>
        <v>8912.18</v>
      </c>
      <c r="E671" s="49">
        <f>SUM(E654)*37.5</f>
        <v>16.875</v>
      </c>
      <c r="F671" s="49">
        <f>SUM(F654+F655)*37.5</f>
        <v>3183.7499999999995</v>
      </c>
      <c r="G671" s="44"/>
      <c r="H671" s="49">
        <f>SUM(C671:G671)</f>
        <v>22832.255</v>
      </c>
    </row>
    <row r="672" spans="1:8" ht="15">
      <c r="A672" s="44" t="s">
        <v>64</v>
      </c>
      <c r="B672" s="44"/>
      <c r="C672" s="49">
        <f>SUM(C656+C657)*45</f>
        <v>1566.9</v>
      </c>
      <c r="D672" s="49">
        <f>SUM(D656+D657)*86</f>
        <v>1947.8999999999999</v>
      </c>
      <c r="E672" s="49">
        <v>0</v>
      </c>
      <c r="F672" s="49">
        <f>SUM(F656+F657)*37.5</f>
        <v>1830.375</v>
      </c>
      <c r="G672" s="44"/>
      <c r="H672" s="49">
        <f>SUM(C672:G672)</f>
        <v>5345.175</v>
      </c>
    </row>
    <row r="673" spans="1:8" ht="15">
      <c r="A673" s="44" t="s">
        <v>54</v>
      </c>
      <c r="B673" s="44"/>
      <c r="C673" s="49">
        <f>SUM(C658)*45</f>
        <v>6906.15</v>
      </c>
      <c r="D673" s="49">
        <f>SUM(D658)*86</f>
        <v>8490.78</v>
      </c>
      <c r="E673" s="49">
        <v>0</v>
      </c>
      <c r="F673" s="49">
        <f>SUM(F658)*37.5</f>
        <v>13090.5</v>
      </c>
      <c r="G673" s="44"/>
      <c r="H673" s="49">
        <f>SUM(C673:G673)</f>
        <v>28487.43</v>
      </c>
    </row>
    <row r="674" spans="1:8" ht="15">
      <c r="A674" s="44" t="s">
        <v>65</v>
      </c>
      <c r="B674" s="44"/>
      <c r="C674" s="49">
        <f>SUM(C671:C673)</f>
        <v>19192.5</v>
      </c>
      <c r="D674" s="49">
        <f>SUM(D671:D673)</f>
        <v>19350.86</v>
      </c>
      <c r="E674" s="49">
        <v>0</v>
      </c>
      <c r="F674" s="49">
        <f>SUM(F671:F673)</f>
        <v>18104.625</v>
      </c>
      <c r="G674" s="44"/>
      <c r="H674" s="49">
        <f>SUM(H671:H673)</f>
        <v>56664.86</v>
      </c>
    </row>
    <row r="675" spans="1:8" ht="15">
      <c r="A675" s="44"/>
      <c r="B675" s="44"/>
      <c r="C675" s="44"/>
      <c r="D675" s="44"/>
      <c r="E675" s="44"/>
      <c r="F675" s="44"/>
      <c r="G675" s="44"/>
      <c r="H675" s="44"/>
    </row>
    <row r="676" spans="1:8" ht="15">
      <c r="A676" s="52" t="s">
        <v>56</v>
      </c>
      <c r="B676" s="44"/>
      <c r="C676" s="45" t="s">
        <v>45</v>
      </c>
      <c r="D676" s="45" t="s">
        <v>46</v>
      </c>
      <c r="E676" s="45" t="s">
        <v>58</v>
      </c>
      <c r="F676" s="45" t="s">
        <v>59</v>
      </c>
      <c r="G676" s="45"/>
      <c r="H676" s="45"/>
    </row>
    <row r="677" spans="1:8" ht="15">
      <c r="A677" s="44" t="s">
        <v>63</v>
      </c>
      <c r="B677" s="44"/>
      <c r="C677" s="49">
        <v>0</v>
      </c>
      <c r="D677" s="49">
        <v>0</v>
      </c>
      <c r="E677" s="49">
        <v>0</v>
      </c>
      <c r="F677" s="49">
        <v>0</v>
      </c>
      <c r="G677" s="44"/>
      <c r="H677" s="49">
        <v>0</v>
      </c>
    </row>
    <row r="678" spans="1:8" ht="15">
      <c r="A678" s="44" t="s">
        <v>64</v>
      </c>
      <c r="B678" s="44"/>
      <c r="C678" s="49">
        <v>0</v>
      </c>
      <c r="D678" s="49">
        <v>0</v>
      </c>
      <c r="E678" s="49">
        <v>0</v>
      </c>
      <c r="F678" s="49">
        <v>0</v>
      </c>
      <c r="G678" s="44"/>
      <c r="H678" s="49">
        <v>0</v>
      </c>
    </row>
    <row r="679" spans="1:8" ht="15">
      <c r="A679" s="44" t="s">
        <v>54</v>
      </c>
      <c r="B679" s="44"/>
      <c r="C679" s="49">
        <v>0</v>
      </c>
      <c r="D679" s="49">
        <v>0</v>
      </c>
      <c r="E679" s="49">
        <v>0</v>
      </c>
      <c r="F679" s="49">
        <v>0</v>
      </c>
      <c r="G679" s="44"/>
      <c r="H679" s="49">
        <v>0</v>
      </c>
    </row>
    <row r="680" spans="1:8" ht="15">
      <c r="A680" s="43" t="s">
        <v>65</v>
      </c>
      <c r="B680" s="43"/>
      <c r="C680" s="53">
        <v>0</v>
      </c>
      <c r="D680" s="53">
        <v>0</v>
      </c>
      <c r="E680" s="53">
        <v>0</v>
      </c>
      <c r="F680" s="53">
        <v>0</v>
      </c>
      <c r="G680" s="43"/>
      <c r="H680" s="53">
        <v>0</v>
      </c>
    </row>
    <row r="681" spans="1:8" ht="15">
      <c r="A681" s="44"/>
      <c r="B681" s="44"/>
      <c r="C681" s="44"/>
      <c r="D681" s="44"/>
      <c r="E681" s="44"/>
      <c r="F681" s="44"/>
      <c r="G681" s="44"/>
      <c r="H681" s="44"/>
    </row>
    <row r="682" spans="1:8" ht="15">
      <c r="A682" s="44"/>
      <c r="B682" s="44"/>
      <c r="C682" s="44"/>
      <c r="D682" s="44"/>
      <c r="E682" s="44"/>
      <c r="F682" s="44"/>
      <c r="G682" s="44"/>
      <c r="H682" s="44"/>
    </row>
    <row r="683" spans="1:8" ht="15">
      <c r="A683" s="43" t="s">
        <v>66</v>
      </c>
      <c r="B683" s="43"/>
      <c r="C683" s="44"/>
      <c r="D683" s="44"/>
      <c r="E683" s="44"/>
      <c r="F683" s="44"/>
      <c r="G683" s="44"/>
      <c r="H683" s="44"/>
    </row>
    <row r="684" spans="1:8" ht="15">
      <c r="A684" s="43" t="s">
        <v>67</v>
      </c>
      <c r="B684" s="53">
        <f>SUM(H674+H680)</f>
        <v>56664.86</v>
      </c>
      <c r="C684" s="44"/>
      <c r="D684" s="44"/>
      <c r="E684" s="44"/>
      <c r="F684" s="44"/>
      <c r="G684" s="44"/>
      <c r="H684" s="44"/>
    </row>
    <row r="685" spans="1:8" ht="15">
      <c r="A685" s="43"/>
      <c r="B685" s="43"/>
      <c r="C685" s="44"/>
      <c r="D685" s="44"/>
      <c r="E685" s="44"/>
      <c r="F685" s="44"/>
      <c r="G685" s="44"/>
      <c r="H685" s="44"/>
    </row>
    <row r="686" spans="1:8" ht="15">
      <c r="A686" s="43" t="s">
        <v>66</v>
      </c>
      <c r="B686" s="43"/>
      <c r="C686" s="44"/>
      <c r="D686" s="44"/>
      <c r="E686" s="44"/>
      <c r="F686" s="44"/>
      <c r="G686" s="44"/>
      <c r="H686" s="44"/>
    </row>
    <row r="687" spans="1:8" ht="15">
      <c r="A687" s="43" t="s">
        <v>68</v>
      </c>
      <c r="B687" s="53">
        <v>0</v>
      </c>
      <c r="C687" s="44"/>
      <c r="D687" s="44"/>
      <c r="E687" s="44"/>
      <c r="F687" s="44"/>
      <c r="G687" s="44"/>
      <c r="H687" s="44"/>
    </row>
    <row r="688" spans="1:8" ht="15">
      <c r="A688" s="43"/>
      <c r="B688" s="43"/>
      <c r="C688" s="44"/>
      <c r="D688" s="44"/>
      <c r="E688" s="44"/>
      <c r="F688" s="44"/>
      <c r="G688" s="44"/>
      <c r="H688" s="44"/>
    </row>
    <row r="689" spans="1:8" ht="15">
      <c r="A689" s="43" t="s">
        <v>69</v>
      </c>
      <c r="B689" s="53">
        <f>SUM(B684+B687)</f>
        <v>56664.86</v>
      </c>
      <c r="C689" s="44"/>
      <c r="D689" s="44"/>
      <c r="E689" s="44"/>
      <c r="F689" s="44"/>
      <c r="G689" s="44"/>
      <c r="H689" s="44"/>
    </row>
    <row r="690" spans="1:8" ht="15">
      <c r="A690" s="43"/>
      <c r="B690" s="43"/>
      <c r="C690" s="44"/>
      <c r="D690" s="44"/>
      <c r="E690" s="44"/>
      <c r="F690" s="44"/>
      <c r="G690" s="44"/>
      <c r="H690" s="44"/>
    </row>
    <row r="691" spans="1:8" ht="15">
      <c r="A691" s="43" t="s">
        <v>70</v>
      </c>
      <c r="B691" s="58"/>
      <c r="C691" s="44"/>
      <c r="D691" s="44"/>
      <c r="E691" s="44"/>
      <c r="F691" s="44"/>
      <c r="G691" s="44"/>
      <c r="H691" s="44"/>
    </row>
    <row r="692" spans="1:8" ht="15">
      <c r="A692" s="43" t="s">
        <v>71</v>
      </c>
      <c r="B692" s="58">
        <v>34501.78</v>
      </c>
      <c r="C692" s="44"/>
      <c r="D692" s="44"/>
      <c r="E692" s="44"/>
      <c r="F692" s="44"/>
      <c r="G692" s="44"/>
      <c r="H692" s="44"/>
    </row>
    <row r="693" spans="1:8" ht="15">
      <c r="A693" s="43"/>
      <c r="B693" s="43"/>
      <c r="C693" s="44"/>
      <c r="D693" s="44"/>
      <c r="E693" s="44"/>
      <c r="F693" s="44"/>
      <c r="G693" s="44"/>
      <c r="H693" s="44"/>
    </row>
    <row r="694" spans="1:8" ht="15">
      <c r="A694" s="43" t="s">
        <v>72</v>
      </c>
      <c r="B694" s="53">
        <f>SUM(B689)-B692</f>
        <v>22163.08</v>
      </c>
      <c r="C694" s="44"/>
      <c r="D694" s="44"/>
      <c r="E694" s="44"/>
      <c r="F694" s="44"/>
      <c r="G694" s="44"/>
      <c r="H694" s="44"/>
    </row>
    <row r="695" spans="1:8" ht="15.75">
      <c r="A695" s="50"/>
      <c r="B695" s="50"/>
      <c r="C695" s="50"/>
      <c r="D695" s="50"/>
      <c r="E695" s="50"/>
      <c r="F695" s="50"/>
      <c r="G695" s="50"/>
      <c r="H695" s="50"/>
    </row>
    <row r="698" spans="1:8" ht="15.75">
      <c r="A698" s="36">
        <v>37043</v>
      </c>
      <c r="B698" s="50"/>
      <c r="C698" s="50"/>
      <c r="D698" s="50"/>
      <c r="E698" s="50"/>
      <c r="F698" s="50"/>
      <c r="G698" s="50"/>
      <c r="H698" s="50"/>
    </row>
    <row r="699" spans="1:8" ht="15.75">
      <c r="A699" s="50"/>
      <c r="B699" s="50"/>
      <c r="C699" s="50"/>
      <c r="D699" s="50"/>
      <c r="E699" s="50"/>
      <c r="F699" s="50"/>
      <c r="G699" s="50"/>
      <c r="H699" s="50"/>
    </row>
    <row r="700" spans="1:8" ht="15.75">
      <c r="A700" s="43" t="s">
        <v>38</v>
      </c>
      <c r="B700" s="43">
        <f>SUM(C713+C714+C715+C716+D713+D714+D715+D716+E714+F714+F715+F716)</f>
        <v>417.38000000000005</v>
      </c>
      <c r="C700" s="50"/>
      <c r="D700" s="50"/>
      <c r="E700" s="50"/>
      <c r="F700" s="50"/>
      <c r="G700" s="50"/>
      <c r="H700" s="50"/>
    </row>
    <row r="701" spans="1:8" ht="15.75">
      <c r="A701" s="44"/>
      <c r="B701" s="43"/>
      <c r="C701" s="50"/>
      <c r="D701" s="50"/>
      <c r="E701" s="50"/>
      <c r="F701" s="50"/>
      <c r="G701" s="50"/>
      <c r="H701" s="50"/>
    </row>
    <row r="702" spans="1:8" ht="15.75">
      <c r="A702" s="43" t="s">
        <v>40</v>
      </c>
      <c r="B702" s="43">
        <f>SUM(H717)</f>
        <v>579.76</v>
      </c>
      <c r="C702" s="50"/>
      <c r="D702" s="50"/>
      <c r="E702" s="50"/>
      <c r="F702" s="50"/>
      <c r="G702" s="50"/>
      <c r="H702" s="50"/>
    </row>
    <row r="703" spans="1:8" ht="15.75">
      <c r="A703" s="44"/>
      <c r="B703" s="43"/>
      <c r="C703" s="50"/>
      <c r="D703" s="50"/>
      <c r="E703" s="50"/>
      <c r="F703" s="50"/>
      <c r="G703" s="50"/>
      <c r="H703" s="50"/>
    </row>
    <row r="704" spans="1:8" ht="15.75">
      <c r="A704" s="43" t="s">
        <v>41</v>
      </c>
      <c r="B704" s="43">
        <f>SUM(B700:B703)+70.92</f>
        <v>1068.0600000000002</v>
      </c>
      <c r="C704" t="s">
        <v>37</v>
      </c>
      <c r="D704" s="50"/>
      <c r="E704" s="50"/>
      <c r="F704" s="50"/>
      <c r="G704" s="50"/>
      <c r="H704" s="50"/>
    </row>
    <row r="705" spans="1:8" ht="15.75">
      <c r="A705" s="44"/>
      <c r="B705" s="43"/>
      <c r="C705" s="50"/>
      <c r="D705" s="50"/>
      <c r="E705" s="50"/>
      <c r="F705" s="50"/>
      <c r="G705" s="50"/>
      <c r="H705" s="50"/>
    </row>
    <row r="706" spans="1:8" ht="15.75">
      <c r="A706" s="43" t="s">
        <v>6</v>
      </c>
      <c r="B706" s="43">
        <f>SUM(B704)-B708</f>
        <v>293.0600000000002</v>
      </c>
      <c r="C706" s="50"/>
      <c r="D706" s="50"/>
      <c r="E706" s="50"/>
      <c r="F706" s="50"/>
      <c r="G706" s="50"/>
      <c r="H706" s="50"/>
    </row>
    <row r="707" spans="1:8" ht="15.75">
      <c r="A707" s="50"/>
      <c r="B707" s="51"/>
      <c r="C707" s="50"/>
      <c r="D707" s="50"/>
      <c r="E707" s="50"/>
      <c r="F707" s="50"/>
      <c r="G707" s="50"/>
      <c r="H707" s="50"/>
    </row>
    <row r="708" spans="1:8" ht="15">
      <c r="A708" s="43" t="s">
        <v>42</v>
      </c>
      <c r="B708" s="43">
        <v>775</v>
      </c>
      <c r="C708" s="44"/>
      <c r="D708" s="44"/>
      <c r="E708" s="44"/>
      <c r="F708" s="44"/>
      <c r="G708" s="44"/>
      <c r="H708" s="44"/>
    </row>
    <row r="709" spans="1:8" ht="15">
      <c r="A709" s="44"/>
      <c r="B709" s="44"/>
      <c r="C709" s="44"/>
      <c r="D709" s="44"/>
      <c r="E709" s="44"/>
      <c r="F709" s="44"/>
      <c r="G709" s="44"/>
      <c r="H709" s="44"/>
    </row>
    <row r="710" spans="1:8" ht="15">
      <c r="A710" s="44"/>
      <c r="B710" s="44"/>
      <c r="C710" s="44"/>
      <c r="D710" s="44"/>
      <c r="E710" s="44"/>
      <c r="F710" s="44"/>
      <c r="G710" s="44"/>
      <c r="H710" s="44"/>
    </row>
    <row r="711" spans="1:8" ht="15">
      <c r="A711" s="43" t="s">
        <v>43</v>
      </c>
      <c r="B711" s="44"/>
      <c r="C711" s="44"/>
      <c r="D711" s="44"/>
      <c r="E711" s="44"/>
      <c r="F711" s="44"/>
      <c r="G711" s="44"/>
      <c r="H711" s="44"/>
    </row>
    <row r="712" spans="1:8" ht="15">
      <c r="A712" s="52" t="s">
        <v>44</v>
      </c>
      <c r="B712" s="44"/>
      <c r="C712" s="45" t="s">
        <v>45</v>
      </c>
      <c r="D712" s="45" t="s">
        <v>46</v>
      </c>
      <c r="E712" s="45" t="s">
        <v>47</v>
      </c>
      <c r="F712" s="45" t="s">
        <v>48</v>
      </c>
      <c r="G712" s="45"/>
      <c r="H712" s="45" t="s">
        <v>49</v>
      </c>
    </row>
    <row r="713" spans="1:8" ht="15">
      <c r="A713" s="44" t="s">
        <v>50</v>
      </c>
      <c r="B713" s="44"/>
      <c r="C713" s="44">
        <v>83.86</v>
      </c>
      <c r="D713" s="44">
        <v>48.63</v>
      </c>
      <c r="E713" s="44"/>
      <c r="F713" s="44"/>
      <c r="G713" s="44"/>
      <c r="H713" s="44">
        <f>SUM(C713:G713)</f>
        <v>132.49</v>
      </c>
    </row>
    <row r="714" spans="1:8" ht="15">
      <c r="A714" s="44" t="s">
        <v>51</v>
      </c>
      <c r="B714" s="44"/>
      <c r="C714" s="44">
        <v>130.93</v>
      </c>
      <c r="D714" s="44">
        <v>45.08</v>
      </c>
      <c r="E714" s="44">
        <v>1.42</v>
      </c>
      <c r="F714" s="44">
        <v>32.6</v>
      </c>
      <c r="G714" s="44"/>
      <c r="H714" s="44">
        <f>SUM(C714:G714)</f>
        <v>210.02999999999997</v>
      </c>
    </row>
    <row r="715" spans="1:8" ht="15">
      <c r="A715" s="44" t="s">
        <v>52</v>
      </c>
      <c r="B715" s="44"/>
      <c r="C715" s="44"/>
      <c r="D715" s="44">
        <v>5.16</v>
      </c>
      <c r="E715" s="44"/>
      <c r="F715" s="44">
        <f>8.14+5.07</f>
        <v>13.21</v>
      </c>
      <c r="G715" s="44"/>
      <c r="H715" s="44">
        <f>SUM(C715:G715)</f>
        <v>18.37</v>
      </c>
    </row>
    <row r="716" spans="1:8" ht="15">
      <c r="A716" s="44" t="s">
        <v>53</v>
      </c>
      <c r="B716" s="44"/>
      <c r="C716" s="44">
        <v>26.36</v>
      </c>
      <c r="D716" s="44">
        <v>18.31</v>
      </c>
      <c r="E716" s="44"/>
      <c r="F716" s="44">
        <f>7.81+4.01</f>
        <v>11.82</v>
      </c>
      <c r="G716" s="44"/>
      <c r="H716" s="44">
        <f>SUM(C716:G716)</f>
        <v>56.49</v>
      </c>
    </row>
    <row r="717" spans="1:8" ht="15">
      <c r="A717" s="44" t="s">
        <v>54</v>
      </c>
      <c r="B717" s="44"/>
      <c r="C717" s="44">
        <v>123.83</v>
      </c>
      <c r="D717" s="44">
        <v>77.1</v>
      </c>
      <c r="E717" s="44"/>
      <c r="F717" s="44">
        <f>354.02+24.81</f>
        <v>378.83</v>
      </c>
      <c r="G717" s="44"/>
      <c r="H717" s="44">
        <f>SUM(C717:G717)</f>
        <v>579.76</v>
      </c>
    </row>
    <row r="718" spans="1:8" ht="15">
      <c r="A718" s="43" t="s">
        <v>55</v>
      </c>
      <c r="B718" s="43"/>
      <c r="C718" s="43">
        <f>SUM(C713:C717)</f>
        <v>364.98</v>
      </c>
      <c r="D718" s="43">
        <f>SUM(D713:D717)</f>
        <v>194.28</v>
      </c>
      <c r="E718" s="43">
        <f>SUM(E713:E717)</f>
        <v>1.42</v>
      </c>
      <c r="F718" s="43">
        <f>SUM(F713:F717)</f>
        <v>436.46</v>
      </c>
      <c r="G718" s="43"/>
      <c r="H718" s="43">
        <f>SUM(H713:H717)</f>
        <v>997.14</v>
      </c>
    </row>
    <row r="719" spans="1:8" ht="15">
      <c r="A719" s="44"/>
      <c r="B719" s="44"/>
      <c r="C719" s="44"/>
      <c r="D719" s="44"/>
      <c r="E719" s="44"/>
      <c r="F719" s="44"/>
      <c r="G719" s="44"/>
      <c r="H719" s="44"/>
    </row>
    <row r="720" spans="1:8" ht="15">
      <c r="A720" s="52" t="s">
        <v>56</v>
      </c>
      <c r="B720" s="44"/>
      <c r="C720" s="45" t="s">
        <v>45</v>
      </c>
      <c r="D720" s="45" t="s">
        <v>46</v>
      </c>
      <c r="E720" s="45" t="s">
        <v>58</v>
      </c>
      <c r="F720" s="45" t="s">
        <v>59</v>
      </c>
      <c r="G720" s="45"/>
      <c r="H720" s="45"/>
    </row>
    <row r="721" spans="1:8" ht="15">
      <c r="A721" s="44" t="s">
        <v>50</v>
      </c>
      <c r="B721" s="44"/>
      <c r="C721" s="44">
        <v>0</v>
      </c>
      <c r="D721" s="44">
        <v>0</v>
      </c>
      <c r="E721" s="44">
        <v>0</v>
      </c>
      <c r="F721" s="44">
        <v>0</v>
      </c>
      <c r="G721" s="44"/>
      <c r="H721" s="44">
        <v>0</v>
      </c>
    </row>
    <row r="722" spans="1:8" ht="15">
      <c r="A722" s="44" t="s">
        <v>51</v>
      </c>
      <c r="B722" s="44"/>
      <c r="C722" s="44">
        <v>0</v>
      </c>
      <c r="D722" s="44">
        <v>0</v>
      </c>
      <c r="E722" s="44">
        <v>0</v>
      </c>
      <c r="F722" s="44">
        <v>0</v>
      </c>
      <c r="G722" s="44"/>
      <c r="H722" s="44">
        <v>0</v>
      </c>
    </row>
    <row r="723" spans="1:8" ht="15">
      <c r="A723" s="44" t="s">
        <v>52</v>
      </c>
      <c r="B723" s="44"/>
      <c r="C723" s="44">
        <v>0</v>
      </c>
      <c r="D723" s="44">
        <v>0</v>
      </c>
      <c r="E723" s="44">
        <v>0</v>
      </c>
      <c r="F723" s="44">
        <v>0</v>
      </c>
      <c r="G723" s="44"/>
      <c r="H723" s="44">
        <v>0</v>
      </c>
    </row>
    <row r="724" spans="1:8" ht="15">
      <c r="A724" s="44" t="s">
        <v>53</v>
      </c>
      <c r="B724" s="44"/>
      <c r="C724" s="44">
        <v>0</v>
      </c>
      <c r="D724" s="44">
        <v>0</v>
      </c>
      <c r="E724" s="44">
        <v>0</v>
      </c>
      <c r="F724" s="44">
        <v>0</v>
      </c>
      <c r="G724" s="44"/>
      <c r="H724" s="44">
        <v>0</v>
      </c>
    </row>
    <row r="725" spans="1:8" ht="15">
      <c r="A725" s="44" t="s">
        <v>54</v>
      </c>
      <c r="B725" s="44"/>
      <c r="C725" s="44">
        <v>0</v>
      </c>
      <c r="D725" s="44">
        <v>0</v>
      </c>
      <c r="E725" s="44">
        <v>0</v>
      </c>
      <c r="F725" s="44">
        <v>0</v>
      </c>
      <c r="G725" s="44"/>
      <c r="H725" s="44">
        <v>0</v>
      </c>
    </row>
    <row r="726" spans="1:8" ht="15">
      <c r="A726" s="43" t="s">
        <v>55</v>
      </c>
      <c r="B726" s="43"/>
      <c r="C726" s="43">
        <v>0</v>
      </c>
      <c r="D726" s="43">
        <v>0</v>
      </c>
      <c r="E726" s="43">
        <v>0</v>
      </c>
      <c r="F726" s="43">
        <v>0</v>
      </c>
      <c r="G726" s="43"/>
      <c r="H726" s="43">
        <v>0</v>
      </c>
    </row>
    <row r="727" spans="1:8" ht="15">
      <c r="A727" s="44"/>
      <c r="B727" s="44"/>
      <c r="C727" s="44"/>
      <c r="D727" s="44"/>
      <c r="E727" s="44"/>
      <c r="F727" s="44"/>
      <c r="G727" s="44"/>
      <c r="H727" s="44"/>
    </row>
    <row r="728" spans="1:8" ht="15">
      <c r="A728" s="43" t="s">
        <v>57</v>
      </c>
      <c r="B728" s="44"/>
      <c r="C728" s="45" t="s">
        <v>45</v>
      </c>
      <c r="D728" s="45" t="s">
        <v>46</v>
      </c>
      <c r="E728" s="45" t="s">
        <v>58</v>
      </c>
      <c r="F728" s="45" t="s">
        <v>59</v>
      </c>
      <c r="G728" s="45"/>
      <c r="H728" s="45"/>
    </row>
    <row r="729" spans="1:8" ht="15">
      <c r="A729" s="52" t="s">
        <v>44</v>
      </c>
      <c r="B729" s="44"/>
      <c r="C729" s="45" t="s">
        <v>60</v>
      </c>
      <c r="D729" s="45" t="s">
        <v>61</v>
      </c>
      <c r="E729" s="45" t="s">
        <v>62</v>
      </c>
      <c r="F729" s="45" t="s">
        <v>62</v>
      </c>
      <c r="G729" s="45"/>
      <c r="H729" s="45" t="s">
        <v>49</v>
      </c>
    </row>
    <row r="730" spans="1:8" ht="15">
      <c r="A730" s="44" t="s">
        <v>63</v>
      </c>
      <c r="B730" s="44"/>
      <c r="C730" s="49">
        <f>SUM(C713+C714)*45</f>
        <v>9665.550000000001</v>
      </c>
      <c r="D730" s="49">
        <f>SUM(D713+D714)*86</f>
        <v>8059.06</v>
      </c>
      <c r="E730" s="49">
        <f>SUM(E713)*37.5</f>
        <v>0</v>
      </c>
      <c r="F730" s="49">
        <f>SUM(F713+F714)*37.5</f>
        <v>1222.5</v>
      </c>
      <c r="G730" s="44"/>
      <c r="H730" s="49">
        <f>SUM(C730:G730)</f>
        <v>18947.11</v>
      </c>
    </row>
    <row r="731" spans="1:8" ht="15">
      <c r="A731" s="44" t="s">
        <v>64</v>
      </c>
      <c r="B731" s="44"/>
      <c r="C731" s="49">
        <f>SUM(C715+C716)*45</f>
        <v>1186.2</v>
      </c>
      <c r="D731" s="49">
        <f>SUM(D715+D716)*86</f>
        <v>2018.4199999999998</v>
      </c>
      <c r="E731" s="49">
        <f>SUM(E714)*37.5</f>
        <v>53.25</v>
      </c>
      <c r="F731" s="49">
        <f>SUM(F715+F716)*37.5</f>
        <v>938.625</v>
      </c>
      <c r="G731" s="44"/>
      <c r="H731" s="49">
        <f>SUM(C731:G731)</f>
        <v>4196.495</v>
      </c>
    </row>
    <row r="732" spans="1:8" ht="15">
      <c r="A732" s="44" t="s">
        <v>54</v>
      </c>
      <c r="B732" s="44"/>
      <c r="C732" s="49">
        <f>SUM(C717)*45</f>
        <v>5572.35</v>
      </c>
      <c r="D732" s="49">
        <f>SUM(D717)*86</f>
        <v>6630.599999999999</v>
      </c>
      <c r="E732" s="49">
        <v>0</v>
      </c>
      <c r="F732" s="49">
        <f>SUM(F717)*37.5</f>
        <v>14206.125</v>
      </c>
      <c r="G732" s="44"/>
      <c r="H732" s="49">
        <f>SUM(C732:G732)</f>
        <v>26409.075</v>
      </c>
    </row>
    <row r="733" spans="1:8" ht="15">
      <c r="A733" s="44" t="s">
        <v>65</v>
      </c>
      <c r="B733" s="44"/>
      <c r="C733" s="49">
        <f>SUM(C730:C732)</f>
        <v>16424.100000000002</v>
      </c>
      <c r="D733" s="49">
        <f>SUM(D730:D732)</f>
        <v>16708.079999999998</v>
      </c>
      <c r="E733" s="49">
        <v>0</v>
      </c>
      <c r="F733" s="49">
        <f>SUM(F730:F732)</f>
        <v>16367.25</v>
      </c>
      <c r="G733" s="44"/>
      <c r="H733" s="49">
        <f>SUM(H730:H732)</f>
        <v>49552.68</v>
      </c>
    </row>
    <row r="734" spans="1:8" ht="15">
      <c r="A734" s="44"/>
      <c r="B734" s="44"/>
      <c r="C734" s="44"/>
      <c r="D734" s="44"/>
      <c r="E734" s="44"/>
      <c r="F734" s="44"/>
      <c r="G734" s="44"/>
      <c r="H734" s="44"/>
    </row>
    <row r="735" spans="1:8" ht="15">
      <c r="A735" s="52" t="s">
        <v>56</v>
      </c>
      <c r="B735" s="44"/>
      <c r="C735" s="45" t="s">
        <v>45</v>
      </c>
      <c r="D735" s="45" t="s">
        <v>46</v>
      </c>
      <c r="E735" s="45" t="s">
        <v>58</v>
      </c>
      <c r="F735" s="45" t="s">
        <v>59</v>
      </c>
      <c r="G735" s="45"/>
      <c r="H735" s="45"/>
    </row>
    <row r="736" spans="1:8" ht="15">
      <c r="A736" s="44" t="s">
        <v>63</v>
      </c>
      <c r="B736" s="44"/>
      <c r="C736" s="49">
        <v>0</v>
      </c>
      <c r="D736" s="49">
        <v>0</v>
      </c>
      <c r="E736" s="49">
        <v>0</v>
      </c>
      <c r="F736" s="49">
        <v>0</v>
      </c>
      <c r="G736" s="44"/>
      <c r="H736" s="49">
        <v>0</v>
      </c>
    </row>
    <row r="737" spans="1:8" ht="15">
      <c r="A737" s="44" t="s">
        <v>64</v>
      </c>
      <c r="B737" s="44"/>
      <c r="C737" s="49">
        <v>0</v>
      </c>
      <c r="D737" s="49">
        <v>0</v>
      </c>
      <c r="E737" s="49">
        <v>0</v>
      </c>
      <c r="F737" s="49">
        <v>0</v>
      </c>
      <c r="G737" s="44"/>
      <c r="H737" s="49">
        <v>0</v>
      </c>
    </row>
    <row r="738" spans="1:8" ht="15">
      <c r="A738" s="44" t="s">
        <v>54</v>
      </c>
      <c r="B738" s="44"/>
      <c r="C738" s="49">
        <v>0</v>
      </c>
      <c r="D738" s="49">
        <v>0</v>
      </c>
      <c r="E738" s="49">
        <v>0</v>
      </c>
      <c r="F738" s="49">
        <v>0</v>
      </c>
      <c r="G738" s="44"/>
      <c r="H738" s="49">
        <v>0</v>
      </c>
    </row>
    <row r="739" spans="1:8" ht="15">
      <c r="A739" s="43" t="s">
        <v>65</v>
      </c>
      <c r="B739" s="43"/>
      <c r="C739" s="53">
        <v>0</v>
      </c>
      <c r="D739" s="53">
        <v>0</v>
      </c>
      <c r="E739" s="53">
        <v>0</v>
      </c>
      <c r="F739" s="53">
        <v>0</v>
      </c>
      <c r="G739" s="43"/>
      <c r="H739" s="53">
        <v>0</v>
      </c>
    </row>
    <row r="740" spans="1:8" ht="15">
      <c r="A740" s="44"/>
      <c r="B740" s="44"/>
      <c r="C740" s="44"/>
      <c r="D740" s="44"/>
      <c r="E740" s="44"/>
      <c r="F740" s="44"/>
      <c r="G740" s="44"/>
      <c r="H740" s="44"/>
    </row>
    <row r="741" spans="1:8" ht="15">
      <c r="A741" s="44"/>
      <c r="B741" s="44"/>
      <c r="C741" s="44"/>
      <c r="D741" s="44"/>
      <c r="E741" s="44"/>
      <c r="F741" s="44"/>
      <c r="G741" s="44"/>
      <c r="H741" s="44"/>
    </row>
    <row r="742" spans="1:8" ht="15">
      <c r="A742" s="43" t="s">
        <v>66</v>
      </c>
      <c r="B742" s="43"/>
      <c r="C742" s="44"/>
      <c r="D742" s="44"/>
      <c r="E742" s="44"/>
      <c r="F742" s="44"/>
      <c r="G742" s="44"/>
      <c r="H742" s="44"/>
    </row>
    <row r="743" spans="1:8" ht="15">
      <c r="A743" s="43" t="s">
        <v>67</v>
      </c>
      <c r="B743" s="53">
        <f>SUM(H733+H739)</f>
        <v>49552.68</v>
      </c>
      <c r="C743" s="44"/>
      <c r="D743" s="44"/>
      <c r="E743" s="44"/>
      <c r="F743" s="44"/>
      <c r="G743" s="44"/>
      <c r="H743" s="44"/>
    </row>
    <row r="744" spans="1:8" ht="15">
      <c r="A744" s="43"/>
      <c r="B744" s="43"/>
      <c r="C744" s="44"/>
      <c r="D744" s="44"/>
      <c r="E744" s="44"/>
      <c r="F744" s="44"/>
      <c r="G744" s="44"/>
      <c r="H744" s="44"/>
    </row>
    <row r="745" spans="1:8" ht="15">
      <c r="A745" s="43" t="s">
        <v>66</v>
      </c>
      <c r="B745" s="43"/>
      <c r="C745" s="44"/>
      <c r="D745" s="44"/>
      <c r="E745" s="44"/>
      <c r="F745" s="44"/>
      <c r="G745" s="44"/>
      <c r="H745" s="44"/>
    </row>
    <row r="746" spans="1:8" ht="15">
      <c r="A746" s="43" t="s">
        <v>68</v>
      </c>
      <c r="B746" s="53">
        <v>0</v>
      </c>
      <c r="C746" s="44"/>
      <c r="D746" s="44"/>
      <c r="E746" s="44"/>
      <c r="F746" s="44"/>
      <c r="G746" s="44"/>
      <c r="H746" s="44"/>
    </row>
    <row r="747" spans="1:8" ht="15">
      <c r="A747" s="43"/>
      <c r="B747" s="43"/>
      <c r="C747" s="44"/>
      <c r="D747" s="44"/>
      <c r="E747" s="44"/>
      <c r="F747" s="44"/>
      <c r="G747" s="44"/>
      <c r="H747" s="44"/>
    </row>
    <row r="748" spans="1:8" ht="15">
      <c r="A748" s="43" t="s">
        <v>69</v>
      </c>
      <c r="B748" s="53">
        <f>SUM(B743+B746)</f>
        <v>49552.68</v>
      </c>
      <c r="C748" s="44"/>
      <c r="D748" s="44"/>
      <c r="E748" s="44"/>
      <c r="F748" s="44"/>
      <c r="G748" s="44"/>
      <c r="H748" s="44"/>
    </row>
    <row r="749" spans="1:8" ht="15">
      <c r="A749" s="43"/>
      <c r="B749" s="43"/>
      <c r="C749" s="44"/>
      <c r="D749" s="44"/>
      <c r="E749" s="44"/>
      <c r="F749" s="44"/>
      <c r="G749" s="44"/>
      <c r="H749" s="44"/>
    </row>
    <row r="750" spans="1:8" ht="15">
      <c r="A750" s="43" t="s">
        <v>70</v>
      </c>
      <c r="B750" s="58"/>
      <c r="C750" s="44"/>
      <c r="D750" s="44"/>
      <c r="E750" s="44"/>
      <c r="F750" s="44"/>
      <c r="G750" s="44"/>
      <c r="H750" s="44"/>
    </row>
    <row r="751" spans="1:8" ht="15">
      <c r="A751" s="43" t="s">
        <v>71</v>
      </c>
      <c r="B751" s="58">
        <v>34276.53</v>
      </c>
      <c r="C751" s="44"/>
      <c r="D751" s="44"/>
      <c r="E751" s="44"/>
      <c r="F751" s="44"/>
      <c r="G751" s="44"/>
      <c r="H751" s="44"/>
    </row>
    <row r="752" spans="1:8" ht="15">
      <c r="A752" s="43"/>
      <c r="B752" s="43"/>
      <c r="C752" s="44"/>
      <c r="D752" s="44"/>
      <c r="E752" s="44"/>
      <c r="F752" s="44"/>
      <c r="G752" s="44"/>
      <c r="H752" s="44"/>
    </row>
    <row r="753" spans="1:8" ht="15">
      <c r="A753" s="43" t="s">
        <v>72</v>
      </c>
      <c r="B753" s="53">
        <f>SUM(B748)-B751</f>
        <v>15276.150000000001</v>
      </c>
      <c r="C753" s="44"/>
      <c r="D753" s="44"/>
      <c r="E753" s="44"/>
      <c r="F753" s="44"/>
      <c r="G753" s="44"/>
      <c r="H753" s="44"/>
    </row>
    <row r="754" spans="1:8" ht="15.75">
      <c r="A754" s="50"/>
      <c r="B754" s="50"/>
      <c r="C754" s="50"/>
      <c r="D754" s="50"/>
      <c r="E754" s="50"/>
      <c r="F754" s="50"/>
      <c r="G754" s="50"/>
      <c r="H754" s="50"/>
    </row>
  </sheetData>
  <printOptions/>
  <pageMargins left="0.75" right="0.75" top="1" bottom="1" header="0.5" footer="0.5"/>
  <pageSetup fitToHeight="1" fitToWidth="1"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workbookViewId="0" topLeftCell="A1">
      <selection activeCell="J96" sqref="J96"/>
    </sheetView>
  </sheetViews>
  <sheetFormatPr defaultColWidth="11.421875" defaultRowHeight="12.75"/>
  <cols>
    <col min="1" max="1" width="23.7109375" style="0" customWidth="1"/>
    <col min="2" max="13" width="8.7109375" style="0" customWidth="1"/>
    <col min="14" max="16384" width="8.8515625" style="0" customWidth="1"/>
  </cols>
  <sheetData>
    <row r="1" ht="12">
      <c r="D1" s="14" t="s">
        <v>31</v>
      </c>
    </row>
    <row r="3" ht="12">
      <c r="F3" s="37" t="s">
        <v>105</v>
      </c>
    </row>
    <row r="5" spans="1:14" ht="12">
      <c r="A5" s="37" t="s">
        <v>117</v>
      </c>
      <c r="B5" s="38">
        <v>36708</v>
      </c>
      <c r="C5" s="38">
        <v>36739</v>
      </c>
      <c r="D5" s="38">
        <v>36770</v>
      </c>
      <c r="E5" s="38">
        <v>36800</v>
      </c>
      <c r="F5" s="38">
        <v>36831</v>
      </c>
      <c r="G5" s="38">
        <v>36861</v>
      </c>
      <c r="H5" s="38">
        <v>36892</v>
      </c>
      <c r="I5" s="38">
        <v>36923</v>
      </c>
      <c r="J5" s="38">
        <v>36951</v>
      </c>
      <c r="K5" s="38">
        <v>36982</v>
      </c>
      <c r="L5" s="38">
        <v>37012</v>
      </c>
      <c r="M5" s="38">
        <v>37043</v>
      </c>
      <c r="N5" s="37" t="s">
        <v>115</v>
      </c>
    </row>
    <row r="6" spans="1:14" ht="12">
      <c r="A6" s="14" t="s">
        <v>50</v>
      </c>
      <c r="B6" s="40">
        <f>SUM('Monthly Summary Reports'!C58)</f>
        <v>70.68</v>
      </c>
      <c r="C6" s="40">
        <v>99.52</v>
      </c>
      <c r="D6" s="40">
        <v>93.75</v>
      </c>
      <c r="E6" s="40">
        <v>97.41</v>
      </c>
      <c r="F6" s="40">
        <v>99.13</v>
      </c>
      <c r="G6" s="40">
        <v>89.53</v>
      </c>
      <c r="H6" s="40">
        <v>88.71</v>
      </c>
      <c r="I6" s="40">
        <v>78.68</v>
      </c>
      <c r="J6" s="40">
        <v>89.38</v>
      </c>
      <c r="K6" s="40">
        <v>81.4</v>
      </c>
      <c r="L6" s="40">
        <v>91.63</v>
      </c>
      <c r="M6" s="40">
        <v>83.86</v>
      </c>
      <c r="N6" s="14">
        <f>SUM(B6:M6)</f>
        <v>1063.68</v>
      </c>
    </row>
    <row r="7" spans="1:14" ht="12">
      <c r="A7" s="14" t="s">
        <v>51</v>
      </c>
      <c r="B7" s="40">
        <f>SUM('Monthly Summary Reports'!C59)</f>
        <v>126.88</v>
      </c>
      <c r="C7" s="40">
        <f>170.45+2.28</f>
        <v>172.73</v>
      </c>
      <c r="D7" s="40">
        <v>139.28</v>
      </c>
      <c r="E7" s="40">
        <v>150.19</v>
      </c>
      <c r="F7" s="40">
        <v>160.4</v>
      </c>
      <c r="G7" s="40">
        <v>136.03</v>
      </c>
      <c r="H7" s="40">
        <v>137.03</v>
      </c>
      <c r="I7" s="40">
        <v>112.87</v>
      </c>
      <c r="J7" s="40">
        <v>135.92</v>
      </c>
      <c r="K7" s="40">
        <v>128.65</v>
      </c>
      <c r="L7" s="40">
        <v>146.58</v>
      </c>
      <c r="M7" s="40">
        <v>130.93</v>
      </c>
      <c r="N7" s="14">
        <f>SUM(B7:M7)</f>
        <v>1677.49</v>
      </c>
    </row>
    <row r="8" spans="1:14" ht="12">
      <c r="A8" s="14" t="s">
        <v>52</v>
      </c>
      <c r="B8" s="40">
        <f>SUM('Monthly Summary Reports'!C60)</f>
        <v>18.45</v>
      </c>
      <c r="C8" s="40">
        <v>12.87</v>
      </c>
      <c r="D8" s="40">
        <f>1.59+4.5</f>
        <v>6.09</v>
      </c>
      <c r="E8" s="40">
        <v>9.98</v>
      </c>
      <c r="F8" s="40">
        <v>7.48</v>
      </c>
      <c r="G8" s="40">
        <v>3.28</v>
      </c>
      <c r="H8" s="40">
        <v>3</v>
      </c>
      <c r="I8" s="40">
        <v>2.04</v>
      </c>
      <c r="J8" s="40">
        <v>1.18</v>
      </c>
      <c r="K8" s="40">
        <v>0.98</v>
      </c>
      <c r="L8" s="40">
        <v>3.66</v>
      </c>
      <c r="M8" s="40">
        <v>0</v>
      </c>
      <c r="N8" s="14">
        <f>SUM(B8:M8)</f>
        <v>69.01</v>
      </c>
    </row>
    <row r="9" spans="1:14" ht="12">
      <c r="A9" s="14" t="s">
        <v>53</v>
      </c>
      <c r="B9" s="40">
        <f>SUM('Monthly Summary Reports'!C61)</f>
        <v>9.08</v>
      </c>
      <c r="C9" s="40">
        <v>24.2</v>
      </c>
      <c r="D9" s="40">
        <v>15.15</v>
      </c>
      <c r="E9" s="40">
        <v>0.79</v>
      </c>
      <c r="F9" s="40">
        <v>9.41</v>
      </c>
      <c r="G9" s="40">
        <v>9.42</v>
      </c>
      <c r="H9" s="40">
        <v>4.14</v>
      </c>
      <c r="I9" s="40">
        <v>4.58</v>
      </c>
      <c r="J9" s="40">
        <f>10.3+0.66+1.78</f>
        <v>12.74</v>
      </c>
      <c r="K9" s="40">
        <v>1.04</v>
      </c>
      <c r="L9" s="40">
        <f>30.19+0.97</f>
        <v>31.16</v>
      </c>
      <c r="M9" s="40">
        <v>26.36</v>
      </c>
      <c r="N9" s="14">
        <f>SUM(B9:M9)</f>
        <v>148.07</v>
      </c>
    </row>
    <row r="10" spans="1:14" ht="12">
      <c r="A10" s="14" t="s">
        <v>91</v>
      </c>
      <c r="B10" s="40">
        <f>SUM('Monthly Summary Reports'!C62)</f>
        <v>138.92</v>
      </c>
      <c r="C10" s="40">
        <v>182.7</v>
      </c>
      <c r="D10" s="40">
        <v>158.62</v>
      </c>
      <c r="E10" s="40">
        <v>160.79</v>
      </c>
      <c r="F10" s="40">
        <v>171.05</v>
      </c>
      <c r="G10" s="40">
        <v>127.05</v>
      </c>
      <c r="H10" s="40">
        <v>149.24</v>
      </c>
      <c r="I10" s="40">
        <v>117.94</v>
      </c>
      <c r="J10" s="40">
        <v>177.34</v>
      </c>
      <c r="K10" s="40">
        <v>149.91</v>
      </c>
      <c r="L10" s="40">
        <v>153.47</v>
      </c>
      <c r="M10" s="40">
        <v>123.83</v>
      </c>
      <c r="N10" s="14">
        <f>SUM(B10:M10)</f>
        <v>1810.86</v>
      </c>
    </row>
    <row r="11" spans="1:14" ht="12">
      <c r="A11" s="14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4"/>
    </row>
    <row r="12" spans="1:14" ht="12">
      <c r="A12" s="14"/>
      <c r="B12" s="38">
        <v>36708</v>
      </c>
      <c r="C12" s="38">
        <v>36739</v>
      </c>
      <c r="D12" s="38">
        <v>36770</v>
      </c>
      <c r="E12" s="38">
        <v>36800</v>
      </c>
      <c r="F12" s="38">
        <v>36831</v>
      </c>
      <c r="G12" s="38">
        <v>36861</v>
      </c>
      <c r="H12" s="38">
        <v>36892</v>
      </c>
      <c r="I12" s="38">
        <v>36923</v>
      </c>
      <c r="J12" s="38">
        <v>36951</v>
      </c>
      <c r="K12" s="38">
        <v>36982</v>
      </c>
      <c r="L12" s="38">
        <v>37012</v>
      </c>
      <c r="M12" s="38">
        <v>37043</v>
      </c>
      <c r="N12" s="37" t="s">
        <v>115</v>
      </c>
    </row>
    <row r="13" spans="1:14" ht="12">
      <c r="A13" s="39" t="s">
        <v>92</v>
      </c>
      <c r="B13" s="40">
        <v>72.29</v>
      </c>
      <c r="C13" s="40">
        <v>83.33</v>
      </c>
      <c r="D13" s="40">
        <v>74.81</v>
      </c>
      <c r="E13" s="40">
        <v>85.41</v>
      </c>
      <c r="F13" s="40">
        <f>18.48+60.61</f>
        <v>79.09</v>
      </c>
      <c r="G13" s="40">
        <v>65.71</v>
      </c>
      <c r="H13" s="40">
        <v>77.19</v>
      </c>
      <c r="I13" s="40">
        <v>58.58</v>
      </c>
      <c r="J13" s="40">
        <v>76.41</v>
      </c>
      <c r="K13" s="40">
        <v>63.67</v>
      </c>
      <c r="L13" s="40">
        <v>69.1</v>
      </c>
      <c r="M13" s="40">
        <v>55.6</v>
      </c>
      <c r="N13" s="14">
        <f aca="true" t="shared" si="0" ref="N13:N45">SUM(B13:M13)</f>
        <v>861.19</v>
      </c>
    </row>
    <row r="14" spans="1:14" ht="12">
      <c r="A14" s="39" t="s">
        <v>93</v>
      </c>
      <c r="B14" s="40">
        <v>11.82</v>
      </c>
      <c r="C14" s="40">
        <v>30.64</v>
      </c>
      <c r="D14" s="40">
        <v>13.1</v>
      </c>
      <c r="E14" s="40"/>
      <c r="F14" s="40">
        <f>6.85+9.97</f>
        <v>16.82</v>
      </c>
      <c r="G14" s="40"/>
      <c r="H14" s="40">
        <v>10.83</v>
      </c>
      <c r="I14" s="40">
        <v>15.31</v>
      </c>
      <c r="J14" s="40">
        <v>39.39</v>
      </c>
      <c r="K14" s="40">
        <v>19.56</v>
      </c>
      <c r="L14" s="40">
        <v>19.57</v>
      </c>
      <c r="M14" s="40">
        <v>7.1</v>
      </c>
      <c r="N14" s="14">
        <f>SUM(B14:M14)</f>
        <v>184.14</v>
      </c>
    </row>
    <row r="15" spans="1:14" ht="12">
      <c r="A15" s="39" t="s">
        <v>34</v>
      </c>
      <c r="B15" s="40">
        <v>6.14</v>
      </c>
      <c r="C15" s="40">
        <v>12.45</v>
      </c>
      <c r="D15" s="40">
        <v>5.62</v>
      </c>
      <c r="E15" s="40">
        <v>11.99</v>
      </c>
      <c r="F15" s="40"/>
      <c r="G15" s="40"/>
      <c r="H15" s="40"/>
      <c r="I15" s="40"/>
      <c r="J15" s="40">
        <v>6.17</v>
      </c>
      <c r="K15" s="40">
        <v>6.27</v>
      </c>
      <c r="L15" s="40">
        <v>4.68</v>
      </c>
      <c r="M15" s="40">
        <v>6.2</v>
      </c>
      <c r="N15" s="14">
        <f t="shared" si="0"/>
        <v>59.52</v>
      </c>
    </row>
    <row r="16" spans="1:14" ht="12">
      <c r="A16" s="39" t="s">
        <v>124</v>
      </c>
      <c r="B16" s="40">
        <v>3.01</v>
      </c>
      <c r="C16" s="40">
        <v>3.2</v>
      </c>
      <c r="D16" s="40">
        <v>2.99</v>
      </c>
      <c r="E16" s="40">
        <v>3.07</v>
      </c>
      <c r="F16" s="40">
        <f>0.87+3.4</f>
        <v>4.27</v>
      </c>
      <c r="G16" s="40">
        <v>3.01</v>
      </c>
      <c r="H16" s="40">
        <v>3.46</v>
      </c>
      <c r="I16" s="40">
        <v>2.34</v>
      </c>
      <c r="J16" s="40">
        <v>3.43</v>
      </c>
      <c r="K16" s="40">
        <v>3.1</v>
      </c>
      <c r="L16" s="40">
        <v>3.34</v>
      </c>
      <c r="M16" s="40">
        <v>3.18</v>
      </c>
      <c r="N16" s="14">
        <f aca="true" t="shared" si="1" ref="N16:N21">SUM(B16:M16)</f>
        <v>38.4</v>
      </c>
    </row>
    <row r="17" spans="1:14" ht="12">
      <c r="A17" s="39" t="s">
        <v>126</v>
      </c>
      <c r="B17" s="40">
        <v>5.39</v>
      </c>
      <c r="C17" s="40">
        <v>7</v>
      </c>
      <c r="D17" s="40">
        <v>4.74</v>
      </c>
      <c r="E17" s="40">
        <v>7.67</v>
      </c>
      <c r="F17" s="40">
        <f>0.27+3.9</f>
        <v>4.17</v>
      </c>
      <c r="G17" s="40">
        <v>8.33</v>
      </c>
      <c r="H17" s="40">
        <v>4.84</v>
      </c>
      <c r="I17" s="40">
        <v>5.13</v>
      </c>
      <c r="J17" s="40">
        <v>8.18</v>
      </c>
      <c r="K17" s="40">
        <v>6.34</v>
      </c>
      <c r="L17" s="40">
        <v>5.67</v>
      </c>
      <c r="M17" s="40">
        <v>5.22</v>
      </c>
      <c r="N17" s="14">
        <f t="shared" si="1"/>
        <v>72.68</v>
      </c>
    </row>
    <row r="18" spans="1:14" ht="12">
      <c r="A18" s="39" t="s">
        <v>125</v>
      </c>
      <c r="B18" s="40">
        <v>6.42</v>
      </c>
      <c r="C18" s="40">
        <v>6.11</v>
      </c>
      <c r="D18" s="40">
        <v>6.06</v>
      </c>
      <c r="E18" s="40">
        <v>5.32</v>
      </c>
      <c r="F18" s="40">
        <f>2.82+2.51</f>
        <v>5.33</v>
      </c>
      <c r="G18" s="40">
        <v>3.61</v>
      </c>
      <c r="H18" s="40">
        <v>10.1</v>
      </c>
      <c r="I18" s="40">
        <v>5.32</v>
      </c>
      <c r="J18" s="40">
        <v>4.46</v>
      </c>
      <c r="K18" s="40">
        <v>6.43</v>
      </c>
      <c r="L18" s="40">
        <v>7.44</v>
      </c>
      <c r="M18" s="40">
        <v>3.04</v>
      </c>
      <c r="N18" s="14">
        <f t="shared" si="1"/>
        <v>69.64000000000001</v>
      </c>
    </row>
    <row r="19" spans="1:14" ht="12">
      <c r="A19" s="39" t="s">
        <v>95</v>
      </c>
      <c r="B19" s="40">
        <v>3.7</v>
      </c>
      <c r="C19" s="40">
        <v>4.86</v>
      </c>
      <c r="D19" s="40">
        <v>7.8</v>
      </c>
      <c r="E19" s="40">
        <v>8.93</v>
      </c>
      <c r="F19" s="40">
        <f>1.67+7.88</f>
        <v>9.55</v>
      </c>
      <c r="G19" s="40">
        <v>5.34</v>
      </c>
      <c r="H19" s="40">
        <v>7.33</v>
      </c>
      <c r="I19" s="40">
        <v>3.03</v>
      </c>
      <c r="J19" s="40">
        <v>5.93</v>
      </c>
      <c r="K19" s="40">
        <v>4.25</v>
      </c>
      <c r="L19" s="40">
        <v>3.62</v>
      </c>
      <c r="M19" s="40">
        <v>5.54</v>
      </c>
      <c r="N19" s="14">
        <f t="shared" si="1"/>
        <v>69.88000000000001</v>
      </c>
    </row>
    <row r="20" spans="1:14" ht="12">
      <c r="A20" s="39" t="s">
        <v>108</v>
      </c>
      <c r="B20" s="40"/>
      <c r="C20" s="40">
        <v>1.04</v>
      </c>
      <c r="D20" s="40"/>
      <c r="E20" s="40">
        <v>0.9</v>
      </c>
      <c r="F20" s="40"/>
      <c r="G20" s="40"/>
      <c r="H20" s="40"/>
      <c r="I20" s="40"/>
      <c r="J20" s="40"/>
      <c r="K20" s="40"/>
      <c r="L20" s="40"/>
      <c r="M20" s="40"/>
      <c r="N20" s="14">
        <f t="shared" si="1"/>
        <v>1.94</v>
      </c>
    </row>
    <row r="21" spans="1:14" ht="12">
      <c r="A21" s="39" t="s">
        <v>94</v>
      </c>
      <c r="B21" s="40"/>
      <c r="C21" s="40"/>
      <c r="D21" s="40"/>
      <c r="E21" s="40">
        <v>0.41</v>
      </c>
      <c r="F21" s="40">
        <v>0.35</v>
      </c>
      <c r="G21" s="40">
        <v>0.53</v>
      </c>
      <c r="H21" s="40">
        <v>0.66</v>
      </c>
      <c r="I21" s="40"/>
      <c r="J21" s="40">
        <v>0.53</v>
      </c>
      <c r="K21" s="40">
        <v>0.79</v>
      </c>
      <c r="L21" s="40">
        <v>1.27</v>
      </c>
      <c r="M21" s="40">
        <v>0.73</v>
      </c>
      <c r="N21" s="14">
        <f t="shared" si="1"/>
        <v>5.270000000000001</v>
      </c>
    </row>
    <row r="22" spans="1:14" ht="12">
      <c r="A22" s="39" t="s">
        <v>96</v>
      </c>
      <c r="B22" s="40">
        <v>11.51</v>
      </c>
      <c r="C22" s="40">
        <v>16.02</v>
      </c>
      <c r="D22" s="40">
        <v>12.53</v>
      </c>
      <c r="E22" s="40">
        <v>13.39</v>
      </c>
      <c r="F22" s="40">
        <f>1.93+14.42</f>
        <v>16.35</v>
      </c>
      <c r="G22" s="40">
        <v>13.2</v>
      </c>
      <c r="H22" s="40">
        <v>10.47</v>
      </c>
      <c r="I22" s="40">
        <v>11.34</v>
      </c>
      <c r="J22" s="40">
        <v>13.46</v>
      </c>
      <c r="K22" s="40">
        <v>12.78</v>
      </c>
      <c r="L22" s="40">
        <v>11.99</v>
      </c>
      <c r="M22" s="40">
        <v>15.86</v>
      </c>
      <c r="N22" s="14">
        <f t="shared" si="0"/>
        <v>158.90000000000003</v>
      </c>
    </row>
    <row r="23" spans="1:14" ht="12">
      <c r="A23" s="39" t="s">
        <v>12</v>
      </c>
      <c r="B23" s="40">
        <v>1.57</v>
      </c>
      <c r="C23" s="40">
        <v>1.35</v>
      </c>
      <c r="D23" s="40">
        <v>1.27</v>
      </c>
      <c r="E23" s="40">
        <v>2.08</v>
      </c>
      <c r="F23" s="40"/>
      <c r="G23" s="40">
        <v>1.89</v>
      </c>
      <c r="H23" s="40">
        <v>1.21</v>
      </c>
      <c r="I23" s="40">
        <v>1.08</v>
      </c>
      <c r="J23" s="40">
        <v>1.56</v>
      </c>
      <c r="K23" s="40">
        <v>5.73</v>
      </c>
      <c r="L23" s="40">
        <v>2.71</v>
      </c>
      <c r="M23" s="40"/>
      <c r="N23" s="14"/>
    </row>
    <row r="24" spans="1:14" ht="12">
      <c r="A24" s="39" t="s">
        <v>13</v>
      </c>
      <c r="B24" s="40">
        <v>0.78</v>
      </c>
      <c r="C24" s="40"/>
      <c r="D24" s="40"/>
      <c r="E24" s="40">
        <v>0.59</v>
      </c>
      <c r="F24" s="40">
        <f>0.43+8.38</f>
        <v>8.81</v>
      </c>
      <c r="G24" s="40">
        <v>0.99</v>
      </c>
      <c r="H24" s="40"/>
      <c r="I24" s="40"/>
      <c r="J24" s="40"/>
      <c r="K24" s="40"/>
      <c r="L24" s="40"/>
      <c r="M24" s="40"/>
      <c r="N24" s="14"/>
    </row>
    <row r="25" spans="1:14" ht="12">
      <c r="A25" s="39" t="s">
        <v>103</v>
      </c>
      <c r="B25" s="40">
        <v>8.06</v>
      </c>
      <c r="C25" s="40">
        <v>10.81</v>
      </c>
      <c r="D25" s="40">
        <v>9.95</v>
      </c>
      <c r="E25" s="40">
        <v>10.6</v>
      </c>
      <c r="F25" s="40">
        <f>3.12+8.6</f>
        <v>11.719999999999999</v>
      </c>
      <c r="G25" s="40">
        <v>9.07</v>
      </c>
      <c r="H25" s="40">
        <v>9.46</v>
      </c>
      <c r="I25" s="40">
        <v>8.52</v>
      </c>
      <c r="J25" s="40">
        <v>9.06</v>
      </c>
      <c r="K25" s="40">
        <v>8.79</v>
      </c>
      <c r="L25" s="40">
        <v>10.42</v>
      </c>
      <c r="M25" s="40">
        <v>4.67</v>
      </c>
      <c r="N25" s="14">
        <f t="shared" si="0"/>
        <v>111.13</v>
      </c>
    </row>
    <row r="26" spans="1:14" ht="12">
      <c r="A26" s="39" t="s">
        <v>97</v>
      </c>
      <c r="B26" s="40">
        <v>8.1</v>
      </c>
      <c r="C26" s="40">
        <v>5.89</v>
      </c>
      <c r="D26" s="40">
        <v>10.43</v>
      </c>
      <c r="E26" s="40">
        <v>10.43</v>
      </c>
      <c r="F26" s="40">
        <v>7.41</v>
      </c>
      <c r="G26" s="40">
        <v>6.6</v>
      </c>
      <c r="H26" s="40">
        <v>6.67</v>
      </c>
      <c r="I26" s="40">
        <v>6.82</v>
      </c>
      <c r="J26" s="40">
        <v>8.57</v>
      </c>
      <c r="K26" s="40">
        <v>10.7</v>
      </c>
      <c r="L26" s="40">
        <v>9.06</v>
      </c>
      <c r="M26" s="40">
        <f>3.85+7.88</f>
        <v>11.73</v>
      </c>
      <c r="N26" s="14">
        <f t="shared" si="0"/>
        <v>102.41</v>
      </c>
    </row>
    <row r="27" spans="1:14" ht="12">
      <c r="A27" s="39" t="s">
        <v>98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4">
        <f t="shared" si="0"/>
        <v>0</v>
      </c>
    </row>
    <row r="28" spans="1:14" ht="12">
      <c r="A28" s="39" t="s">
        <v>99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4">
        <f t="shared" si="0"/>
        <v>0</v>
      </c>
    </row>
    <row r="29" spans="1:14" ht="12">
      <c r="A29" s="39" t="s">
        <v>100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4">
        <f t="shared" si="0"/>
        <v>0</v>
      </c>
    </row>
    <row r="30" spans="1:14" ht="12">
      <c r="A30" s="39" t="s">
        <v>104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4">
        <f t="shared" si="0"/>
        <v>0</v>
      </c>
    </row>
    <row r="31" spans="1:14" ht="12">
      <c r="A31" s="39" t="s">
        <v>101</v>
      </c>
      <c r="B31" s="40"/>
      <c r="C31" s="40"/>
      <c r="D31" s="40">
        <v>9.32</v>
      </c>
      <c r="E31" s="40"/>
      <c r="F31" s="40"/>
      <c r="G31" s="40"/>
      <c r="H31" s="40"/>
      <c r="I31" s="40"/>
      <c r="J31" s="40"/>
      <c r="K31" s="40"/>
      <c r="L31" s="40"/>
      <c r="M31" s="40"/>
      <c r="N31" s="14">
        <f t="shared" si="0"/>
        <v>9.32</v>
      </c>
    </row>
    <row r="32" spans="1:14" ht="12">
      <c r="A32" s="39" t="s">
        <v>102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4">
        <f t="shared" si="0"/>
        <v>0</v>
      </c>
    </row>
    <row r="33" spans="1:14" ht="12">
      <c r="A33" s="39" t="s">
        <v>0</v>
      </c>
      <c r="B33" s="40"/>
      <c r="C33" s="40"/>
      <c r="D33" s="40"/>
      <c r="E33" s="40"/>
      <c r="F33" s="40"/>
      <c r="G33" s="40"/>
      <c r="H33" s="40">
        <v>0.62</v>
      </c>
      <c r="I33" s="40">
        <v>0.47</v>
      </c>
      <c r="J33" s="40">
        <v>0.19</v>
      </c>
      <c r="K33" s="40">
        <v>0.33</v>
      </c>
      <c r="L33" s="40">
        <v>0.23</v>
      </c>
      <c r="M33" s="40">
        <v>0.62</v>
      </c>
      <c r="N33" s="14">
        <f t="shared" si="0"/>
        <v>2.46</v>
      </c>
    </row>
    <row r="34" spans="1:14" ht="12">
      <c r="A34" s="39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>
        <v>0.22</v>
      </c>
      <c r="M34" s="40"/>
      <c r="N34" s="14"/>
    </row>
    <row r="35" spans="1:14" ht="12">
      <c r="A35" s="39" t="s">
        <v>110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>
        <v>0.29</v>
      </c>
      <c r="M35" s="40"/>
      <c r="N35" s="14">
        <f t="shared" si="0"/>
        <v>0.29</v>
      </c>
    </row>
    <row r="36" spans="1:14" ht="12">
      <c r="A36" s="39" t="s">
        <v>111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4">
        <f t="shared" si="0"/>
        <v>0</v>
      </c>
    </row>
    <row r="37" spans="1:14" ht="12">
      <c r="A37" s="39" t="s">
        <v>113</v>
      </c>
      <c r="B37" s="40"/>
      <c r="C37" s="40"/>
      <c r="D37" s="40"/>
      <c r="E37" s="40"/>
      <c r="F37" s="40">
        <v>0.77</v>
      </c>
      <c r="G37" s="40"/>
      <c r="H37" s="40"/>
      <c r="I37" s="40"/>
      <c r="J37" s="40"/>
      <c r="K37" s="40"/>
      <c r="L37" s="40"/>
      <c r="M37" s="40"/>
      <c r="N37" s="14">
        <f t="shared" si="0"/>
        <v>0.77</v>
      </c>
    </row>
    <row r="38" spans="1:14" ht="12">
      <c r="A38" s="39" t="s">
        <v>114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4">
        <f t="shared" si="0"/>
        <v>0</v>
      </c>
    </row>
    <row r="39" spans="1:14" ht="12">
      <c r="A39" s="39" t="s">
        <v>122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14">
        <f t="shared" si="0"/>
        <v>0</v>
      </c>
    </row>
    <row r="40" spans="1:14" ht="12">
      <c r="A40" s="39" t="s">
        <v>123</v>
      </c>
      <c r="B40" s="40">
        <v>0.13</v>
      </c>
      <c r="C40" s="40"/>
      <c r="D40" s="40"/>
      <c r="E40" s="40"/>
      <c r="F40" s="40"/>
      <c r="G40" s="40">
        <v>2.59</v>
      </c>
      <c r="H40" s="40"/>
      <c r="I40" s="40"/>
      <c r="J40" s="40"/>
      <c r="K40" s="40"/>
      <c r="L40" s="40"/>
      <c r="M40" s="40"/>
      <c r="N40" s="14">
        <f t="shared" si="0"/>
        <v>2.7199999999999998</v>
      </c>
    </row>
    <row r="41" spans="1:14" ht="12">
      <c r="A41" s="39" t="s">
        <v>25</v>
      </c>
      <c r="B41" s="40"/>
      <c r="C41" s="40"/>
      <c r="D41" s="40"/>
      <c r="E41" s="40"/>
      <c r="F41" s="40">
        <v>6.41</v>
      </c>
      <c r="G41" s="40">
        <v>6.18</v>
      </c>
      <c r="H41" s="40">
        <v>6.4</v>
      </c>
      <c r="I41" s="40"/>
      <c r="J41" s="40"/>
      <c r="K41" s="40"/>
      <c r="L41" s="40"/>
      <c r="M41" s="40"/>
      <c r="N41" s="14"/>
    </row>
    <row r="42" spans="1:14" ht="12">
      <c r="A42" s="39" t="s">
        <v>127</v>
      </c>
      <c r="B42" s="40"/>
      <c r="C42" s="40"/>
      <c r="D42" s="40"/>
      <c r="E42" s="40"/>
      <c r="F42" s="40"/>
      <c r="G42" s="40"/>
      <c r="H42" s="40"/>
      <c r="I42" s="40"/>
      <c r="J42" s="40"/>
      <c r="K42" s="40">
        <v>1.17</v>
      </c>
      <c r="L42" s="40">
        <v>3.86</v>
      </c>
      <c r="M42" s="40">
        <v>4.34</v>
      </c>
      <c r="N42" s="14">
        <f t="shared" si="0"/>
        <v>9.37</v>
      </c>
    </row>
    <row r="43" spans="1:14" ht="12">
      <c r="A43" s="14" t="s">
        <v>90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14">
        <f t="shared" si="0"/>
        <v>0</v>
      </c>
    </row>
    <row r="44" spans="1:14" ht="12">
      <c r="A44" s="1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4"/>
    </row>
    <row r="45" spans="1:14" ht="12">
      <c r="A45" s="15" t="s">
        <v>109</v>
      </c>
      <c r="B45" s="41">
        <f>SUM(B6:B10)</f>
        <v>364.01</v>
      </c>
      <c r="C45" s="41">
        <f aca="true" t="shared" si="2" ref="C45:M45">SUM(C6:C10)</f>
        <v>492.02</v>
      </c>
      <c r="D45" s="41">
        <f t="shared" si="2"/>
        <v>412.89</v>
      </c>
      <c r="E45" s="41">
        <f t="shared" si="2"/>
        <v>419.15999999999997</v>
      </c>
      <c r="F45" s="41">
        <f t="shared" si="2"/>
        <v>447.47</v>
      </c>
      <c r="G45" s="41">
        <f>SUM(G6:G10)</f>
        <v>365.31</v>
      </c>
      <c r="H45" s="41">
        <f t="shared" si="2"/>
        <v>382.12</v>
      </c>
      <c r="I45" s="41">
        <f>SUM(I6:I10)</f>
        <v>316.11</v>
      </c>
      <c r="J45" s="41">
        <f t="shared" si="2"/>
        <v>416.56</v>
      </c>
      <c r="K45" s="41">
        <f>SUM(K6:K10)</f>
        <v>361.98</v>
      </c>
      <c r="L45" s="41">
        <f>SUM(L6:L10)</f>
        <v>426.5</v>
      </c>
      <c r="M45" s="41">
        <f t="shared" si="2"/>
        <v>364.98</v>
      </c>
      <c r="N45" s="14">
        <f t="shared" si="0"/>
        <v>4769.110000000001</v>
      </c>
    </row>
    <row r="46" ht="12">
      <c r="A46" s="42"/>
    </row>
    <row r="47" ht="12">
      <c r="D47" s="14" t="s">
        <v>31</v>
      </c>
    </row>
    <row r="49" ht="12">
      <c r="F49" s="37" t="s">
        <v>107</v>
      </c>
    </row>
    <row r="51" spans="1:14" ht="12">
      <c r="A51" s="37" t="s">
        <v>117</v>
      </c>
      <c r="B51" s="38">
        <v>36708</v>
      </c>
      <c r="C51" s="38">
        <v>36739</v>
      </c>
      <c r="D51" s="38">
        <v>36770</v>
      </c>
      <c r="E51" s="38">
        <v>36800</v>
      </c>
      <c r="F51" s="38">
        <v>36831</v>
      </c>
      <c r="G51" s="38">
        <v>36861</v>
      </c>
      <c r="H51" s="38">
        <v>36892</v>
      </c>
      <c r="I51" s="38">
        <v>36923</v>
      </c>
      <c r="J51" s="38">
        <v>36951</v>
      </c>
      <c r="K51" s="38">
        <v>36982</v>
      </c>
      <c r="L51" s="38">
        <v>37012</v>
      </c>
      <c r="M51" s="38">
        <v>37043</v>
      </c>
      <c r="N51" s="37" t="s">
        <v>115</v>
      </c>
    </row>
    <row r="52" spans="1:14" ht="12">
      <c r="A52" s="14" t="s">
        <v>50</v>
      </c>
      <c r="B52">
        <f>SUM('Monthly Summary Reports'!D58)</f>
        <v>41.63</v>
      </c>
      <c r="C52">
        <v>54.01</v>
      </c>
      <c r="D52">
        <v>44.35</v>
      </c>
      <c r="E52">
        <v>48.82</v>
      </c>
      <c r="F52">
        <v>42.23</v>
      </c>
      <c r="G52">
        <v>39.73</v>
      </c>
      <c r="H52">
        <v>54.29</v>
      </c>
      <c r="I52">
        <v>43.76</v>
      </c>
      <c r="J52">
        <v>46.19</v>
      </c>
      <c r="K52">
        <v>45.73</v>
      </c>
      <c r="L52">
        <v>55.76</v>
      </c>
      <c r="M52">
        <v>48.63</v>
      </c>
      <c r="N52" s="14">
        <f>SUM(B52:M52)</f>
        <v>565.13</v>
      </c>
    </row>
    <row r="53" spans="1:14" ht="12">
      <c r="A53" s="14" t="s">
        <v>51</v>
      </c>
      <c r="B53">
        <f>SUM('Monthly Summary Reports'!D59)</f>
        <v>47.54</v>
      </c>
      <c r="C53">
        <v>55.05</v>
      </c>
      <c r="D53">
        <v>42.42</v>
      </c>
      <c r="E53">
        <v>52.39</v>
      </c>
      <c r="F53">
        <v>41.74</v>
      </c>
      <c r="G53">
        <v>40.65</v>
      </c>
      <c r="H53">
        <v>48.9</v>
      </c>
      <c r="I53">
        <v>31.71</v>
      </c>
      <c r="J53">
        <v>54.61</v>
      </c>
      <c r="K53">
        <v>49.35</v>
      </c>
      <c r="L53">
        <v>47.87</v>
      </c>
      <c r="M53">
        <v>45.08</v>
      </c>
      <c r="N53" s="14">
        <f aca="true" t="shared" si="3" ref="N53:N89">SUM(B53:M53)</f>
        <v>557.31</v>
      </c>
    </row>
    <row r="54" spans="1:14" ht="12">
      <c r="A54" s="14" t="s">
        <v>52</v>
      </c>
      <c r="B54">
        <f>SUM('Monthly Summary Reports'!D60)</f>
        <v>21.57</v>
      </c>
      <c r="C54">
        <v>8.72</v>
      </c>
      <c r="D54">
        <f>1.69+5.85</f>
        <v>7.539999999999999</v>
      </c>
      <c r="E54">
        <v>16.53</v>
      </c>
      <c r="F54">
        <v>17.42</v>
      </c>
      <c r="G54">
        <v>25.23</v>
      </c>
      <c r="H54">
        <v>20.75</v>
      </c>
      <c r="I54">
        <v>20</v>
      </c>
      <c r="J54">
        <v>16.7</v>
      </c>
      <c r="K54">
        <v>19</v>
      </c>
      <c r="L54">
        <v>12.6</v>
      </c>
      <c r="M54">
        <v>5.16</v>
      </c>
      <c r="N54" s="14">
        <f t="shared" si="3"/>
        <v>191.21999999999997</v>
      </c>
    </row>
    <row r="55" spans="1:14" ht="12">
      <c r="A55" s="14" t="s">
        <v>53</v>
      </c>
      <c r="B55">
        <f>SUM('Monthly Summary Reports'!D61)</f>
        <v>3.71</v>
      </c>
      <c r="C55">
        <f>10.24+0.6</f>
        <v>10.84</v>
      </c>
      <c r="D55">
        <v>16.79</v>
      </c>
      <c r="E55">
        <v>5.23</v>
      </c>
      <c r="F55">
        <v>7.2</v>
      </c>
      <c r="G55">
        <v>4.75</v>
      </c>
      <c r="H55">
        <v>4.8</v>
      </c>
      <c r="I55">
        <v>4.53</v>
      </c>
      <c r="J55">
        <v>7.03</v>
      </c>
      <c r="K55">
        <v>4.8</v>
      </c>
      <c r="L55">
        <v>10.05</v>
      </c>
      <c r="M55">
        <v>18.31</v>
      </c>
      <c r="N55" s="14">
        <f t="shared" si="3"/>
        <v>98.03999999999999</v>
      </c>
    </row>
    <row r="56" spans="1:14" ht="12">
      <c r="A56" s="14" t="s">
        <v>91</v>
      </c>
      <c r="B56">
        <f>SUM('Monthly Summary Reports'!D62)</f>
        <v>96.39</v>
      </c>
      <c r="C56">
        <v>86.29</v>
      </c>
      <c r="D56">
        <v>84.12</v>
      </c>
      <c r="E56">
        <v>83.62</v>
      </c>
      <c r="F56">
        <v>72.22</v>
      </c>
      <c r="G56">
        <v>59.3</v>
      </c>
      <c r="H56">
        <v>86.56</v>
      </c>
      <c r="I56">
        <v>84.05</v>
      </c>
      <c r="J56">
        <v>88.91</v>
      </c>
      <c r="K56">
        <v>84.19</v>
      </c>
      <c r="L56">
        <v>98.73</v>
      </c>
      <c r="M56">
        <v>77.1</v>
      </c>
      <c r="N56" s="14">
        <f>SUM(B56:M56)</f>
        <v>1001.4799999999999</v>
      </c>
    </row>
    <row r="57" ht="12">
      <c r="A57" s="14"/>
    </row>
    <row r="58" spans="1:14" ht="12">
      <c r="A58" s="14"/>
      <c r="B58" s="38">
        <v>36708</v>
      </c>
      <c r="C58" s="38">
        <v>36739</v>
      </c>
      <c r="D58" s="38">
        <v>36770</v>
      </c>
      <c r="E58" s="38">
        <v>36800</v>
      </c>
      <c r="F58" s="38">
        <v>36831</v>
      </c>
      <c r="G58" s="38">
        <v>36861</v>
      </c>
      <c r="H58" s="38">
        <v>36892</v>
      </c>
      <c r="I58" s="38">
        <v>36923</v>
      </c>
      <c r="J58" s="38">
        <v>36951</v>
      </c>
      <c r="K58" s="38">
        <v>36982</v>
      </c>
      <c r="L58" s="38">
        <v>37012</v>
      </c>
      <c r="M58" s="38">
        <v>37043</v>
      </c>
      <c r="N58" s="37" t="s">
        <v>115</v>
      </c>
    </row>
    <row r="59" spans="1:14" ht="12">
      <c r="A59" s="39" t="s">
        <v>92</v>
      </c>
      <c r="B59" s="40">
        <v>35.79</v>
      </c>
      <c r="C59" s="40">
        <v>36.54</v>
      </c>
      <c r="D59" s="40">
        <v>39.85</v>
      </c>
      <c r="E59" s="40">
        <v>33.98</v>
      </c>
      <c r="F59" s="40">
        <f>6.78+23.37</f>
        <v>30.150000000000002</v>
      </c>
      <c r="G59" s="40">
        <v>26.53</v>
      </c>
      <c r="H59" s="40">
        <v>35.23</v>
      </c>
      <c r="I59" s="40">
        <v>28.55</v>
      </c>
      <c r="J59" s="40">
        <v>34.03</v>
      </c>
      <c r="K59" s="40">
        <v>31.76</v>
      </c>
      <c r="L59" s="40">
        <v>33.87</v>
      </c>
      <c r="M59" s="40">
        <v>29.17</v>
      </c>
      <c r="N59" s="14">
        <f t="shared" si="3"/>
        <v>395.45</v>
      </c>
    </row>
    <row r="60" spans="1:14" ht="12">
      <c r="A60" s="39" t="s">
        <v>93</v>
      </c>
      <c r="B60" s="40">
        <v>7.36</v>
      </c>
      <c r="C60" s="40">
        <v>11.93</v>
      </c>
      <c r="D60" s="40">
        <v>7.05</v>
      </c>
      <c r="E60" s="40">
        <v>8.58</v>
      </c>
      <c r="F60" s="40">
        <f>2.74+5.53</f>
        <v>8.27</v>
      </c>
      <c r="G60" s="40">
        <v>3.85</v>
      </c>
      <c r="H60" s="40">
        <v>8.27</v>
      </c>
      <c r="I60" s="40">
        <v>17.29</v>
      </c>
      <c r="J60" s="40">
        <v>11.32</v>
      </c>
      <c r="K60" s="40">
        <v>6.86</v>
      </c>
      <c r="L60" s="40">
        <v>12.16</v>
      </c>
      <c r="M60" s="40">
        <f>6.59</f>
        <v>6.59</v>
      </c>
      <c r="N60" s="14">
        <f>SUM(B60:M60)</f>
        <v>109.52999999999999</v>
      </c>
    </row>
    <row r="61" spans="1:14" ht="12">
      <c r="A61" s="39" t="s">
        <v>34</v>
      </c>
      <c r="B61" s="40">
        <v>0.47</v>
      </c>
      <c r="C61" s="40"/>
      <c r="D61" s="40">
        <v>0.52</v>
      </c>
      <c r="E61" s="40"/>
      <c r="F61" s="40"/>
      <c r="G61" s="40"/>
      <c r="H61" s="40"/>
      <c r="I61" s="40"/>
      <c r="J61" s="40"/>
      <c r="K61" s="40">
        <v>0.44</v>
      </c>
      <c r="L61" s="40">
        <v>3.61</v>
      </c>
      <c r="M61" s="40">
        <v>0.45</v>
      </c>
      <c r="N61" s="14">
        <f t="shared" si="3"/>
        <v>5.49</v>
      </c>
    </row>
    <row r="62" spans="1:14" ht="12">
      <c r="A62" s="39" t="s">
        <v>124</v>
      </c>
      <c r="B62" s="40">
        <v>1.31</v>
      </c>
      <c r="C62" s="40">
        <v>2.32</v>
      </c>
      <c r="D62" s="40">
        <v>1.32</v>
      </c>
      <c r="E62" s="40">
        <v>1.23</v>
      </c>
      <c r="F62" s="40">
        <f>0.26+1.28</f>
        <v>1.54</v>
      </c>
      <c r="G62" s="40">
        <v>1.25</v>
      </c>
      <c r="H62" s="40">
        <v>1.66</v>
      </c>
      <c r="I62" s="40">
        <v>2.04</v>
      </c>
      <c r="J62" s="40">
        <v>1.43</v>
      </c>
      <c r="K62" s="40">
        <v>1.45</v>
      </c>
      <c r="L62" s="40">
        <v>1.43</v>
      </c>
      <c r="M62" s="40">
        <v>1.63</v>
      </c>
      <c r="N62" s="14">
        <f>SUM(B62:M62)</f>
        <v>18.609999999999996</v>
      </c>
    </row>
    <row r="63" spans="1:14" ht="12">
      <c r="A63" s="39" t="s">
        <v>126</v>
      </c>
      <c r="B63" s="40">
        <v>1.45</v>
      </c>
      <c r="C63" s="40">
        <v>1.49</v>
      </c>
      <c r="D63" s="40">
        <v>1.11</v>
      </c>
      <c r="E63" s="40">
        <v>1.62</v>
      </c>
      <c r="F63" s="40">
        <f>0.03+4.88</f>
        <v>4.91</v>
      </c>
      <c r="G63" s="40">
        <v>1.68</v>
      </c>
      <c r="H63" s="40">
        <v>1.39</v>
      </c>
      <c r="I63" s="40">
        <v>1.48</v>
      </c>
      <c r="J63" s="40">
        <v>2.8</v>
      </c>
      <c r="K63" s="40">
        <v>1.71</v>
      </c>
      <c r="L63" s="40">
        <v>2.79</v>
      </c>
      <c r="M63" s="40">
        <v>1.31</v>
      </c>
      <c r="N63" s="14">
        <f>SUM(B63:M63)</f>
        <v>23.74</v>
      </c>
    </row>
    <row r="64" spans="1:14" ht="12">
      <c r="A64" s="39" t="s">
        <v>125</v>
      </c>
      <c r="B64" s="40">
        <v>1.79</v>
      </c>
      <c r="C64" s="40">
        <v>3.5</v>
      </c>
      <c r="D64" s="40">
        <v>3.92</v>
      </c>
      <c r="E64" s="40">
        <v>4.01</v>
      </c>
      <c r="F64" s="40">
        <f>1.56+2.41</f>
        <v>3.97</v>
      </c>
      <c r="G64" s="40">
        <v>1.89</v>
      </c>
      <c r="H64" s="40">
        <v>4.62</v>
      </c>
      <c r="I64" s="40">
        <v>5.1</v>
      </c>
      <c r="J64" s="40">
        <v>4.08</v>
      </c>
      <c r="K64" s="40">
        <v>4.04</v>
      </c>
      <c r="L64" s="40">
        <v>3.82</v>
      </c>
      <c r="M64" s="40">
        <v>1.74</v>
      </c>
      <c r="N64" s="14">
        <f>SUM(B64:M64)</f>
        <v>42.480000000000004</v>
      </c>
    </row>
    <row r="65" spans="1:14" ht="12">
      <c r="A65" s="39" t="s">
        <v>94</v>
      </c>
      <c r="B65" s="40"/>
      <c r="C65" s="40"/>
      <c r="D65" s="40">
        <v>0.79</v>
      </c>
      <c r="E65" s="40"/>
      <c r="F65" s="40">
        <v>0.3</v>
      </c>
      <c r="G65" s="40"/>
      <c r="H65" s="40">
        <v>0.37</v>
      </c>
      <c r="I65" s="40"/>
      <c r="J65" s="40"/>
      <c r="K65" s="40"/>
      <c r="L65" s="40"/>
      <c r="M65" s="40"/>
      <c r="N65" s="14">
        <f t="shared" si="3"/>
        <v>1.46</v>
      </c>
    </row>
    <row r="66" spans="1:14" ht="12">
      <c r="A66" s="39" t="s">
        <v>95</v>
      </c>
      <c r="B66" s="40">
        <v>2.13</v>
      </c>
      <c r="C66" s="40">
        <v>2.4</v>
      </c>
      <c r="D66" s="40">
        <v>2.08</v>
      </c>
      <c r="E66" s="40">
        <v>2.23</v>
      </c>
      <c r="F66" s="40">
        <f>0.38+1.96</f>
        <v>2.34</v>
      </c>
      <c r="G66" s="40">
        <v>1.77</v>
      </c>
      <c r="H66" s="40">
        <v>2.71</v>
      </c>
      <c r="I66" s="40">
        <v>2.51</v>
      </c>
      <c r="J66" s="40">
        <v>2.02</v>
      </c>
      <c r="K66" s="40">
        <v>3.5</v>
      </c>
      <c r="L66" s="40">
        <v>2.64</v>
      </c>
      <c r="M66" s="40">
        <v>2.58</v>
      </c>
      <c r="N66" s="14">
        <f t="shared" si="3"/>
        <v>28.910000000000004</v>
      </c>
    </row>
    <row r="67" spans="1:14" ht="12">
      <c r="A67" s="39" t="s">
        <v>96</v>
      </c>
      <c r="B67" s="40">
        <v>6.54</v>
      </c>
      <c r="C67" s="40">
        <v>7.36</v>
      </c>
      <c r="D67" s="40">
        <v>6.22</v>
      </c>
      <c r="E67" s="40">
        <v>5.98</v>
      </c>
      <c r="F67" s="40">
        <f>0.87+6.47</f>
        <v>7.34</v>
      </c>
      <c r="G67" s="40">
        <v>6.33</v>
      </c>
      <c r="H67" s="40">
        <v>6.04</v>
      </c>
      <c r="I67" s="40">
        <v>5.91</v>
      </c>
      <c r="J67" s="40">
        <v>7.31</v>
      </c>
      <c r="K67" s="40">
        <v>7.23</v>
      </c>
      <c r="L67" s="40">
        <v>6.85</v>
      </c>
      <c r="M67" s="40">
        <v>8.95</v>
      </c>
      <c r="N67" s="14">
        <f t="shared" si="3"/>
        <v>82.06</v>
      </c>
    </row>
    <row r="68" spans="1:14" ht="12">
      <c r="A68" s="39" t="s">
        <v>12</v>
      </c>
      <c r="B68" s="40">
        <v>0.55</v>
      </c>
      <c r="C68" s="40">
        <v>1.51</v>
      </c>
      <c r="D68" s="40">
        <v>0.58</v>
      </c>
      <c r="E68" s="40">
        <v>0.66</v>
      </c>
      <c r="F68" s="40"/>
      <c r="G68" s="40">
        <v>1.03</v>
      </c>
      <c r="H68" s="40">
        <v>0.47</v>
      </c>
      <c r="I68" s="40">
        <v>0.45</v>
      </c>
      <c r="J68" s="40">
        <v>0.56</v>
      </c>
      <c r="K68" s="40">
        <v>0.7</v>
      </c>
      <c r="L68" s="40">
        <v>0.94</v>
      </c>
      <c r="M68" s="40">
        <v>0.53</v>
      </c>
      <c r="N68" s="14"/>
    </row>
    <row r="69" spans="1:14" ht="12">
      <c r="A69" s="39" t="s">
        <v>13</v>
      </c>
      <c r="B69" s="40">
        <v>1.23</v>
      </c>
      <c r="C69" s="40"/>
      <c r="D69" s="40"/>
      <c r="E69" s="40">
        <v>0.49</v>
      </c>
      <c r="F69" s="40">
        <f>0.26+0.19</f>
        <v>0.45</v>
      </c>
      <c r="G69" s="40">
        <v>0.5</v>
      </c>
      <c r="H69" s="40"/>
      <c r="I69" s="40"/>
      <c r="J69" s="40"/>
      <c r="K69" s="40"/>
      <c r="L69" s="40"/>
      <c r="M69" s="40"/>
      <c r="N69" s="14"/>
    </row>
    <row r="70" spans="1:14" ht="12">
      <c r="A70" s="39" t="s">
        <v>103</v>
      </c>
      <c r="B70" s="40">
        <v>3.51</v>
      </c>
      <c r="C70" s="40">
        <v>4.05</v>
      </c>
      <c r="D70" s="40">
        <v>3.28</v>
      </c>
      <c r="E70" s="40">
        <v>3.91</v>
      </c>
      <c r="F70" s="40">
        <f>0.93+2.63</f>
        <v>3.56</v>
      </c>
      <c r="G70" s="40">
        <v>3.35</v>
      </c>
      <c r="H70" s="40">
        <v>3.92</v>
      </c>
      <c r="I70" s="40">
        <v>3.5</v>
      </c>
      <c r="J70" s="40">
        <v>3.47</v>
      </c>
      <c r="K70" s="40">
        <v>3.66</v>
      </c>
      <c r="L70" s="40">
        <v>4.12</v>
      </c>
      <c r="M70" s="40">
        <v>2.36</v>
      </c>
      <c r="N70" s="14">
        <f t="shared" si="3"/>
        <v>42.68999999999999</v>
      </c>
    </row>
    <row r="71" spans="1:14" ht="12">
      <c r="A71" s="39" t="s">
        <v>97</v>
      </c>
      <c r="B71" s="40">
        <v>7.1</v>
      </c>
      <c r="C71" s="40">
        <v>5.27</v>
      </c>
      <c r="D71" s="40">
        <v>4.74</v>
      </c>
      <c r="E71" s="40">
        <v>4.66</v>
      </c>
      <c r="F71" s="40">
        <f>2.35+2.38</f>
        <v>4.73</v>
      </c>
      <c r="G71" s="40">
        <v>2.42</v>
      </c>
      <c r="H71" s="40">
        <v>7.35</v>
      </c>
      <c r="I71" s="40">
        <v>4.57</v>
      </c>
      <c r="J71" s="40">
        <v>6.93</v>
      </c>
      <c r="K71" s="40">
        <v>5.43</v>
      </c>
      <c r="L71" s="40">
        <v>6.5</v>
      </c>
      <c r="M71" s="40">
        <v>2.37</v>
      </c>
      <c r="N71" s="14">
        <f t="shared" si="3"/>
        <v>62.07</v>
      </c>
    </row>
    <row r="72" spans="1:14" ht="12">
      <c r="A72" s="39" t="s">
        <v>98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4">
        <f t="shared" si="3"/>
        <v>0</v>
      </c>
    </row>
    <row r="73" spans="1:14" ht="12">
      <c r="A73" s="39" t="s">
        <v>99</v>
      </c>
      <c r="B73" s="40">
        <v>19.81</v>
      </c>
      <c r="C73" s="40">
        <v>5.82</v>
      </c>
      <c r="D73" s="40">
        <v>8.77</v>
      </c>
      <c r="E73" s="40">
        <v>14.38</v>
      </c>
      <c r="F73" s="40">
        <v>3.38</v>
      </c>
      <c r="G73" s="40">
        <v>1.71</v>
      </c>
      <c r="H73" s="40">
        <f>4.94+5.96</f>
        <v>10.9</v>
      </c>
      <c r="I73" s="40">
        <v>10.44</v>
      </c>
      <c r="J73" s="40">
        <v>9.5</v>
      </c>
      <c r="K73" s="40">
        <v>11.47</v>
      </c>
      <c r="L73" s="40">
        <v>10.58</v>
      </c>
      <c r="M73" s="40">
        <v>10.77</v>
      </c>
      <c r="N73" s="14">
        <f t="shared" si="3"/>
        <v>117.53</v>
      </c>
    </row>
    <row r="74" spans="1:14" ht="12">
      <c r="A74" s="39" t="s">
        <v>100</v>
      </c>
      <c r="B74" s="40">
        <v>1.04</v>
      </c>
      <c r="C74" s="40">
        <v>2.1</v>
      </c>
      <c r="D74" s="40">
        <v>1.67</v>
      </c>
      <c r="E74" s="40">
        <v>1.89</v>
      </c>
      <c r="F74" s="40">
        <v>0.89</v>
      </c>
      <c r="G74" s="40">
        <v>1.52</v>
      </c>
      <c r="H74" s="40">
        <f>1.1+2.1</f>
        <v>3.2</v>
      </c>
      <c r="I74" s="40">
        <v>1.14</v>
      </c>
      <c r="J74" s="40">
        <v>2.74</v>
      </c>
      <c r="K74" s="40">
        <v>1.68</v>
      </c>
      <c r="L74" s="40">
        <v>2.63</v>
      </c>
      <c r="M74" s="40">
        <v>1.59</v>
      </c>
      <c r="N74" s="14">
        <f t="shared" si="3"/>
        <v>22.089999999999996</v>
      </c>
    </row>
    <row r="75" spans="1:14" ht="12">
      <c r="A75" s="39" t="s">
        <v>104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14">
        <f t="shared" si="3"/>
        <v>0</v>
      </c>
    </row>
    <row r="76" spans="1:14" ht="12">
      <c r="A76" s="39" t="s">
        <v>101</v>
      </c>
      <c r="B76" s="40">
        <v>2.71</v>
      </c>
      <c r="C76" s="40"/>
      <c r="D76" s="40">
        <v>2.22</v>
      </c>
      <c r="E76" s="40"/>
      <c r="F76" s="40"/>
      <c r="G76" s="40"/>
      <c r="H76" s="40"/>
      <c r="I76" s="40"/>
      <c r="J76" s="40"/>
      <c r="K76" s="40"/>
      <c r="L76" s="40"/>
      <c r="M76" s="40"/>
      <c r="N76" s="14">
        <f t="shared" si="3"/>
        <v>4.93</v>
      </c>
    </row>
    <row r="77" spans="1:14" ht="12">
      <c r="A77" s="39" t="s">
        <v>102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14">
        <f t="shared" si="3"/>
        <v>0</v>
      </c>
    </row>
    <row r="78" spans="1:14" ht="12">
      <c r="A78" s="39" t="s">
        <v>108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14">
        <f t="shared" si="3"/>
        <v>0</v>
      </c>
    </row>
    <row r="79" spans="1:14" ht="12">
      <c r="A79" s="39" t="s">
        <v>0</v>
      </c>
      <c r="B79" s="40"/>
      <c r="C79" s="40"/>
      <c r="D79" s="40"/>
      <c r="E79" s="40"/>
      <c r="F79" s="40"/>
      <c r="G79" s="40"/>
      <c r="H79" s="40">
        <v>0.36</v>
      </c>
      <c r="I79" s="40">
        <v>0.43</v>
      </c>
      <c r="J79" s="40">
        <v>0.55</v>
      </c>
      <c r="K79" s="40">
        <v>0.85</v>
      </c>
      <c r="L79" s="40">
        <v>0.71</v>
      </c>
      <c r="M79" s="40">
        <v>0.63</v>
      </c>
      <c r="N79" s="14">
        <f t="shared" si="3"/>
        <v>3.53</v>
      </c>
    </row>
    <row r="80" spans="1:14" ht="12">
      <c r="A80" s="39" t="s">
        <v>19</v>
      </c>
      <c r="B80" s="40"/>
      <c r="C80" s="40"/>
      <c r="D80" s="40"/>
      <c r="E80" s="40"/>
      <c r="F80" s="40"/>
      <c r="G80" s="40"/>
      <c r="H80" s="40">
        <v>0.07</v>
      </c>
      <c r="I80" s="40">
        <v>0.1</v>
      </c>
      <c r="J80" s="40">
        <v>2.17</v>
      </c>
      <c r="K80" s="40">
        <v>2.68</v>
      </c>
      <c r="L80" s="40">
        <v>4.28</v>
      </c>
      <c r="M80" s="40">
        <v>4.2</v>
      </c>
      <c r="N80" s="14">
        <f t="shared" si="3"/>
        <v>13.5</v>
      </c>
    </row>
    <row r="81" spans="1:14" ht="12">
      <c r="A81" s="39" t="s">
        <v>110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14">
        <f t="shared" si="3"/>
        <v>0</v>
      </c>
    </row>
    <row r="82" spans="1:14" ht="12">
      <c r="A82" s="39" t="s">
        <v>111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14">
        <f t="shared" si="3"/>
        <v>0</v>
      </c>
    </row>
    <row r="83" spans="1:14" ht="12">
      <c r="A83" s="39" t="s">
        <v>113</v>
      </c>
      <c r="B83" s="40"/>
      <c r="C83" s="40"/>
      <c r="D83" s="40"/>
      <c r="E83" s="40"/>
      <c r="F83" s="40">
        <v>0.39</v>
      </c>
      <c r="G83" s="40"/>
      <c r="H83" s="40"/>
      <c r="I83" s="40"/>
      <c r="J83" s="40"/>
      <c r="K83" s="40"/>
      <c r="L83" s="40"/>
      <c r="M83" s="40"/>
      <c r="N83" s="14">
        <f t="shared" si="3"/>
        <v>0.39</v>
      </c>
    </row>
    <row r="84" spans="1:14" ht="12">
      <c r="A84" s="39" t="s">
        <v>114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14">
        <f t="shared" si="3"/>
        <v>0</v>
      </c>
    </row>
    <row r="85" spans="1:14" ht="12">
      <c r="A85" s="39" t="s">
        <v>122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14">
        <f t="shared" si="3"/>
        <v>0</v>
      </c>
    </row>
    <row r="86" spans="1:14" ht="12">
      <c r="A86" s="39" t="s">
        <v>123</v>
      </c>
      <c r="B86" s="40"/>
      <c r="C86" s="40"/>
      <c r="D86" s="40"/>
      <c r="E86" s="40"/>
      <c r="F86" s="40"/>
      <c r="G86" s="40">
        <v>1</v>
      </c>
      <c r="H86" s="40"/>
      <c r="I86" s="40"/>
      <c r="J86" s="40"/>
      <c r="K86" s="40"/>
      <c r="L86" s="40"/>
      <c r="M86" s="40"/>
      <c r="N86" s="14">
        <f t="shared" si="3"/>
        <v>1</v>
      </c>
    </row>
    <row r="87" spans="1:14" ht="12">
      <c r="A87" s="39" t="s">
        <v>25</v>
      </c>
      <c r="B87" s="40"/>
      <c r="C87" s="40"/>
      <c r="D87" s="40"/>
      <c r="E87" s="40"/>
      <c r="F87" s="40"/>
      <c r="G87" s="40">
        <f>0.64+3.83</f>
        <v>4.47</v>
      </c>
      <c r="H87" s="40"/>
      <c r="I87" s="40">
        <v>0.54</v>
      </c>
      <c r="J87" s="40"/>
      <c r="K87" s="40"/>
      <c r="L87" s="40"/>
      <c r="M87" s="40"/>
      <c r="N87" s="14"/>
    </row>
    <row r="88" spans="1:14" ht="12">
      <c r="A88" s="39" t="s">
        <v>127</v>
      </c>
      <c r="B88" s="40">
        <v>3.6</v>
      </c>
      <c r="C88" s="40">
        <v>2</v>
      </c>
      <c r="D88" s="40"/>
      <c r="E88" s="40"/>
      <c r="F88" s="40"/>
      <c r="G88" s="40"/>
      <c r="H88" s="40"/>
      <c r="I88" s="40"/>
      <c r="J88" s="40"/>
      <c r="K88" s="40">
        <v>0.73</v>
      </c>
      <c r="L88" s="40">
        <v>1.8</v>
      </c>
      <c r="M88" s="40">
        <v>2.23</v>
      </c>
      <c r="N88" s="14">
        <f t="shared" si="3"/>
        <v>10.360000000000001</v>
      </c>
    </row>
    <row r="89" spans="1:14" ht="12">
      <c r="A89" s="14" t="s">
        <v>90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14">
        <f t="shared" si="3"/>
        <v>0</v>
      </c>
    </row>
    <row r="90" spans="1:14" ht="12">
      <c r="A90" s="15" t="s">
        <v>109</v>
      </c>
      <c r="B90" s="14">
        <f>SUM(B52:B56)</f>
        <v>210.84</v>
      </c>
      <c r="C90" s="14">
        <f aca="true" t="shared" si="4" ref="C90:N90">SUM(C52:C56)</f>
        <v>214.91000000000003</v>
      </c>
      <c r="D90" s="14">
        <f t="shared" si="4"/>
        <v>195.22</v>
      </c>
      <c r="E90" s="14">
        <f t="shared" si="4"/>
        <v>206.59000000000003</v>
      </c>
      <c r="F90" s="14">
        <f t="shared" si="4"/>
        <v>180.81</v>
      </c>
      <c r="G90" s="14">
        <f t="shared" si="4"/>
        <v>169.66</v>
      </c>
      <c r="H90" s="14">
        <f t="shared" si="4"/>
        <v>215.3</v>
      </c>
      <c r="I90" s="14">
        <f t="shared" si="4"/>
        <v>184.05</v>
      </c>
      <c r="J90" s="14">
        <f t="shared" si="4"/>
        <v>213.44</v>
      </c>
      <c r="K90" s="14">
        <f t="shared" si="4"/>
        <v>203.07</v>
      </c>
      <c r="L90" s="14">
        <f t="shared" si="4"/>
        <v>225.01</v>
      </c>
      <c r="M90" s="14">
        <f t="shared" si="4"/>
        <v>194.28</v>
      </c>
      <c r="N90" s="14">
        <f t="shared" si="4"/>
        <v>2413.18</v>
      </c>
    </row>
    <row r="91" ht="12">
      <c r="D91" s="14" t="s">
        <v>31</v>
      </c>
    </row>
    <row r="92" ht="12">
      <c r="F92" s="37" t="s">
        <v>106</v>
      </c>
    </row>
    <row r="94" spans="1:14" ht="12">
      <c r="A94" s="37" t="s">
        <v>117</v>
      </c>
      <c r="B94" s="38">
        <v>36708</v>
      </c>
      <c r="C94" s="38">
        <v>36739</v>
      </c>
      <c r="D94" s="38">
        <v>36770</v>
      </c>
      <c r="E94" s="38">
        <v>36800</v>
      </c>
      <c r="F94" s="38">
        <v>36831</v>
      </c>
      <c r="G94" s="38">
        <v>36861</v>
      </c>
      <c r="H94" s="38">
        <v>36892</v>
      </c>
      <c r="I94" s="38">
        <v>36923</v>
      </c>
      <c r="J94" s="38">
        <v>36951</v>
      </c>
      <c r="K94" s="38">
        <v>36982</v>
      </c>
      <c r="L94" s="38">
        <v>37012</v>
      </c>
      <c r="M94" s="38">
        <v>37043</v>
      </c>
      <c r="N94" s="37" t="s">
        <v>115</v>
      </c>
    </row>
    <row r="95" spans="1:14" ht="12">
      <c r="A95" s="14" t="s">
        <v>50</v>
      </c>
      <c r="B95" s="40">
        <f>SUM('Monthly Summary Reports'!F58)</f>
        <v>0</v>
      </c>
      <c r="C95" s="40">
        <v>0</v>
      </c>
      <c r="D95" s="40">
        <v>2.77</v>
      </c>
      <c r="E95" s="40"/>
      <c r="F95" s="40">
        <v>3.13</v>
      </c>
      <c r="G95">
        <v>0</v>
      </c>
      <c r="H95" s="40">
        <v>0</v>
      </c>
      <c r="I95">
        <v>0</v>
      </c>
      <c r="J95">
        <v>0</v>
      </c>
      <c r="K95">
        <v>0</v>
      </c>
      <c r="L95">
        <v>1.66</v>
      </c>
      <c r="M95">
        <v>0</v>
      </c>
      <c r="N95" s="14">
        <f>SUM(B95:M95)</f>
        <v>7.5600000000000005</v>
      </c>
    </row>
    <row r="96" spans="1:14" ht="12">
      <c r="A96" s="14" t="s">
        <v>51</v>
      </c>
      <c r="B96" s="40">
        <f>SUM('Monthly Summary Reports'!F59)</f>
        <v>46.73</v>
      </c>
      <c r="C96" s="40">
        <f>40.01+1.63</f>
        <v>41.64</v>
      </c>
      <c r="D96" s="40">
        <v>48.9</v>
      </c>
      <c r="E96" s="40">
        <v>64.35</v>
      </c>
      <c r="F96" s="40">
        <v>49.65</v>
      </c>
      <c r="G96">
        <v>56.01</v>
      </c>
      <c r="H96" s="40">
        <v>37.2</v>
      </c>
      <c r="I96" s="40">
        <v>49.07</v>
      </c>
      <c r="J96" s="40">
        <v>67.36</v>
      </c>
      <c r="K96" s="40">
        <f>0.52+51.91+7.18+0.95</f>
        <v>60.56</v>
      </c>
      <c r="L96" s="40">
        <v>83.24</v>
      </c>
      <c r="M96" s="40">
        <v>32.6</v>
      </c>
      <c r="N96" s="14">
        <f>SUM(B96:M96)</f>
        <v>637.3100000000001</v>
      </c>
    </row>
    <row r="97" spans="1:14" ht="12">
      <c r="A97" s="14" t="s">
        <v>52</v>
      </c>
      <c r="B97" s="40">
        <f>SUM('Monthly Summary Reports'!F60)</f>
        <v>0</v>
      </c>
      <c r="C97" s="40">
        <v>0</v>
      </c>
      <c r="D97" s="40">
        <f>0.39+10.31</f>
        <v>10.700000000000001</v>
      </c>
      <c r="E97" s="40">
        <v>11.4</v>
      </c>
      <c r="F97" s="40">
        <v>23.5</v>
      </c>
      <c r="G97">
        <v>19.01</v>
      </c>
      <c r="H97" s="40">
        <v>37.5</v>
      </c>
      <c r="I97" s="40">
        <v>16.35</v>
      </c>
      <c r="J97" s="40">
        <v>16.74</v>
      </c>
      <c r="K97" s="40">
        <f>0.74+18.45</f>
        <v>19.189999999999998</v>
      </c>
      <c r="L97" s="40">
        <v>12.57</v>
      </c>
      <c r="M97" s="40">
        <v>13.21</v>
      </c>
      <c r="N97" s="14">
        <f>SUM(B97:M97)</f>
        <v>180.17000000000002</v>
      </c>
    </row>
    <row r="98" spans="1:14" ht="12">
      <c r="A98" s="14" t="s">
        <v>53</v>
      </c>
      <c r="B98" s="40">
        <f>SUM('Monthly Summary Reports'!F61)</f>
        <v>38.87</v>
      </c>
      <c r="C98" s="40">
        <f>1.93+7.81+3.88+5.72</f>
        <v>19.34</v>
      </c>
      <c r="D98" s="40">
        <f>21.4+15.96+8.93+3.65</f>
        <v>49.94</v>
      </c>
      <c r="E98" s="40">
        <f>3.25+9.83+2.86+17.89</f>
        <v>33.83</v>
      </c>
      <c r="F98" s="40">
        <v>50.5</v>
      </c>
      <c r="G98">
        <v>48.82</v>
      </c>
      <c r="H98" s="40">
        <v>60.03</v>
      </c>
      <c r="I98" s="40">
        <v>66.35</v>
      </c>
      <c r="J98" s="40">
        <f>60.07+4.65+0.54+4.39+5.29</f>
        <v>74.94000000000001</v>
      </c>
      <c r="K98" s="40">
        <f>13.21+15.6+15.54+3.28+4.31+7.69+1.81</f>
        <v>61.440000000000005</v>
      </c>
      <c r="L98" s="40">
        <f>23.84+0.94+11.46</f>
        <v>36.24</v>
      </c>
      <c r="M98" s="40">
        <v>11.82</v>
      </c>
      <c r="N98" s="14">
        <f>SUM(B98:M98)</f>
        <v>552.12</v>
      </c>
    </row>
    <row r="99" spans="1:14" ht="12">
      <c r="A99" s="14" t="s">
        <v>91</v>
      </c>
      <c r="B99" s="40">
        <f>SUM('Monthly Summary Reports'!F62)+57.74</f>
        <v>315.98</v>
      </c>
      <c r="C99" s="40">
        <f>299.14+0.65+33.16+21.68</f>
        <v>354.62999999999994</v>
      </c>
      <c r="D99" s="40">
        <f>28.77+291.62+47.55+0.78</f>
        <v>368.71999999999997</v>
      </c>
      <c r="E99" s="40">
        <f>303.28+36.12+48.82</f>
        <v>388.21999999999997</v>
      </c>
      <c r="F99" s="40">
        <f>374.33+46.85</f>
        <v>421.18</v>
      </c>
      <c r="G99">
        <f>330.36+33.18</f>
        <v>363.54</v>
      </c>
      <c r="H99" s="40">
        <f>315.01+59.93</f>
        <v>374.94</v>
      </c>
      <c r="I99" s="40">
        <f>293.9+53.96</f>
        <v>347.85999999999996</v>
      </c>
      <c r="J99" s="40">
        <f>339.35+54.13</f>
        <v>393.48</v>
      </c>
      <c r="K99" s="40">
        <f>331.89+45.34</f>
        <v>377.23</v>
      </c>
      <c r="L99" s="40">
        <f>349.08+57.73</f>
        <v>406.81</v>
      </c>
      <c r="M99" s="40">
        <f>378.83+70.92</f>
        <v>449.75</v>
      </c>
      <c r="N99" s="41">
        <f>SUM(B99:M99)</f>
        <v>4562.34</v>
      </c>
    </row>
    <row r="100" spans="1:14" ht="12">
      <c r="A100" s="14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2">
      <c r="A101" s="14"/>
      <c r="B101" s="38">
        <v>36708</v>
      </c>
      <c r="C101" s="38">
        <v>36739</v>
      </c>
      <c r="D101" s="38">
        <v>36770</v>
      </c>
      <c r="E101" s="38">
        <v>36800</v>
      </c>
      <c r="F101" s="38">
        <v>36831</v>
      </c>
      <c r="G101" s="38">
        <v>36861</v>
      </c>
      <c r="H101" s="38">
        <v>36892</v>
      </c>
      <c r="I101" s="38">
        <v>36923</v>
      </c>
      <c r="J101" s="38">
        <v>36951</v>
      </c>
      <c r="K101" s="38">
        <v>36982</v>
      </c>
      <c r="L101" s="38">
        <v>37012</v>
      </c>
      <c r="M101" s="38">
        <v>37043</v>
      </c>
      <c r="N101" s="37" t="s">
        <v>115</v>
      </c>
    </row>
    <row r="102" spans="1:14" ht="12">
      <c r="A102" s="39" t="s">
        <v>92</v>
      </c>
      <c r="B102" s="40">
        <v>96.11</v>
      </c>
      <c r="C102" s="40">
        <v>108.68</v>
      </c>
      <c r="D102" s="40">
        <v>98.07</v>
      </c>
      <c r="E102" s="40">
        <f>82.34+9.29</f>
        <v>91.63</v>
      </c>
      <c r="F102" s="40">
        <f>25+77.61</f>
        <v>102.61</v>
      </c>
      <c r="G102" s="40">
        <v>85.11</v>
      </c>
      <c r="H102" s="40">
        <v>97.21</v>
      </c>
      <c r="I102" s="40">
        <f>6.79+84.45</f>
        <v>91.24000000000001</v>
      </c>
      <c r="J102" s="40">
        <v>107.58</v>
      </c>
      <c r="K102" s="40">
        <v>92.28</v>
      </c>
      <c r="L102" s="40">
        <v>122.52</v>
      </c>
      <c r="M102" s="40">
        <f>108.21+4.81</f>
        <v>113.02</v>
      </c>
      <c r="N102" s="14">
        <f aca="true" t="shared" si="5" ref="N102:N137">SUM(B102:M102)</f>
        <v>1206.0600000000002</v>
      </c>
    </row>
    <row r="103" spans="1:14" ht="12">
      <c r="A103" s="39" t="s">
        <v>123</v>
      </c>
      <c r="B103" s="40">
        <v>0.28</v>
      </c>
      <c r="C103" s="40">
        <f>0.28+0.11</f>
        <v>0.39</v>
      </c>
      <c r="D103" s="40">
        <f>0.03+0.1</f>
        <v>0.13</v>
      </c>
      <c r="E103" s="40">
        <v>0.42</v>
      </c>
      <c r="F103" s="40"/>
      <c r="G103" s="40">
        <v>0.16</v>
      </c>
      <c r="H103" s="40">
        <v>0.33</v>
      </c>
      <c r="I103" s="40">
        <v>0.18</v>
      </c>
      <c r="J103" s="40">
        <v>1.13</v>
      </c>
      <c r="K103" s="40">
        <v>0.14</v>
      </c>
      <c r="L103" s="40">
        <v>0.43</v>
      </c>
      <c r="M103" s="40">
        <v>0.13</v>
      </c>
      <c r="N103" s="14">
        <f t="shared" si="5"/>
        <v>3.7199999999999998</v>
      </c>
    </row>
    <row r="104" spans="1:14" ht="12">
      <c r="A104" s="39" t="s">
        <v>125</v>
      </c>
      <c r="B104" s="40">
        <f>13.41+57.74</f>
        <v>71.15</v>
      </c>
      <c r="C104" s="40">
        <f>34.41+21.68</f>
        <v>56.089999999999996</v>
      </c>
      <c r="D104" s="40">
        <f>28.58+47.55</f>
        <v>76.13</v>
      </c>
      <c r="E104" s="40">
        <f>37.26+48.82</f>
        <v>86.08</v>
      </c>
      <c r="F104" s="40">
        <f>4.94+20.19+46.85</f>
        <v>71.98</v>
      </c>
      <c r="G104" s="40">
        <f>6.92+17.29+33.18</f>
        <v>57.39</v>
      </c>
      <c r="H104" s="40">
        <f>19.08+59.93</f>
        <v>79.00999999999999</v>
      </c>
      <c r="I104" s="40">
        <f>22.24+53.96</f>
        <v>76.2</v>
      </c>
      <c r="J104" s="40">
        <f>21.88+54.13</f>
        <v>76.01</v>
      </c>
      <c r="K104" s="40">
        <f>21.51+6.19+45.34</f>
        <v>73.04</v>
      </c>
      <c r="L104" s="40">
        <f>16.26+57.73</f>
        <v>73.99</v>
      </c>
      <c r="M104" s="40">
        <f>18.5+68.01+2.91</f>
        <v>89.42</v>
      </c>
      <c r="N104" s="14">
        <f t="shared" si="5"/>
        <v>886.4899999999999</v>
      </c>
    </row>
    <row r="105" spans="1:14" ht="12">
      <c r="A105" s="39" t="s">
        <v>9</v>
      </c>
      <c r="B105" s="40">
        <v>14.31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14">
        <f t="shared" si="5"/>
        <v>14.31</v>
      </c>
    </row>
    <row r="106" spans="1:14" ht="12">
      <c r="A106" s="39" t="s">
        <v>93</v>
      </c>
      <c r="B106" s="40">
        <v>15.19</v>
      </c>
      <c r="C106" s="40">
        <v>17.71</v>
      </c>
      <c r="D106" s="40">
        <f>2.92+20.29</f>
        <v>23.21</v>
      </c>
      <c r="E106" s="40">
        <f>31.01+17.13</f>
        <v>48.14</v>
      </c>
      <c r="F106" s="40">
        <f>6.48+22.12</f>
        <v>28.6</v>
      </c>
      <c r="G106" s="40">
        <f>4.75+24.46</f>
        <v>29.21</v>
      </c>
      <c r="H106" s="40">
        <f>17.77+4.98</f>
        <v>22.75</v>
      </c>
      <c r="I106" s="40">
        <v>17.59</v>
      </c>
      <c r="J106" s="40"/>
      <c r="K106" s="40">
        <f>7.74+8.14</f>
        <v>15.88</v>
      </c>
      <c r="L106" s="40">
        <v>24.69</v>
      </c>
      <c r="M106" s="40">
        <v>24.81</v>
      </c>
      <c r="N106" s="14">
        <f t="shared" si="5"/>
        <v>267.78</v>
      </c>
    </row>
    <row r="107" spans="1:14" ht="12">
      <c r="A107" s="39" t="s">
        <v>34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14">
        <f t="shared" si="5"/>
        <v>0</v>
      </c>
    </row>
    <row r="108" spans="1:14" ht="12">
      <c r="A108" s="39" t="s">
        <v>124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14">
        <f t="shared" si="5"/>
        <v>0</v>
      </c>
    </row>
    <row r="109" spans="1:14" ht="12">
      <c r="A109" s="39" t="s">
        <v>126</v>
      </c>
      <c r="B109" s="40"/>
      <c r="C109" s="40"/>
      <c r="D109" s="40"/>
      <c r="E109" s="40"/>
      <c r="F109" s="40"/>
      <c r="G109" s="40">
        <v>0.54</v>
      </c>
      <c r="H109" s="40"/>
      <c r="I109" s="40"/>
      <c r="J109" s="40"/>
      <c r="K109" s="40"/>
      <c r="L109" s="40"/>
      <c r="M109" s="40"/>
      <c r="N109" s="14">
        <f t="shared" si="5"/>
        <v>0.54</v>
      </c>
    </row>
    <row r="110" spans="1:14" ht="12">
      <c r="A110" s="39" t="s">
        <v>114</v>
      </c>
      <c r="B110" s="40">
        <v>0.54</v>
      </c>
      <c r="C110" s="40">
        <v>0.98</v>
      </c>
      <c r="D110" s="40">
        <v>0.49</v>
      </c>
      <c r="E110" s="40">
        <v>0.81</v>
      </c>
      <c r="F110" s="40">
        <v>0.15</v>
      </c>
      <c r="G110" s="40">
        <v>0.84</v>
      </c>
      <c r="H110" s="40">
        <v>0.65</v>
      </c>
      <c r="I110" s="40">
        <v>0.64</v>
      </c>
      <c r="J110" s="40">
        <v>0.71</v>
      </c>
      <c r="K110" s="40">
        <v>1.13</v>
      </c>
      <c r="L110" s="40">
        <v>0.98</v>
      </c>
      <c r="M110" s="40">
        <f>0.25+1.04</f>
        <v>1.29</v>
      </c>
      <c r="N110" s="14">
        <f t="shared" si="5"/>
        <v>9.21</v>
      </c>
    </row>
    <row r="111" spans="1:14" ht="12">
      <c r="A111" s="39" t="s">
        <v>94</v>
      </c>
      <c r="B111" s="40">
        <v>1.06</v>
      </c>
      <c r="C111" s="40">
        <f>2.17+0.65</f>
        <v>2.82</v>
      </c>
      <c r="D111" s="40">
        <f>2.75+0.78</f>
        <v>3.5300000000000002</v>
      </c>
      <c r="E111" s="40">
        <v>0.56</v>
      </c>
      <c r="F111" s="40">
        <f>0.39+0.28</f>
        <v>0.67</v>
      </c>
      <c r="G111" s="40">
        <v>0.24</v>
      </c>
      <c r="H111" s="40">
        <v>0.31</v>
      </c>
      <c r="I111" s="40">
        <v>0.64</v>
      </c>
      <c r="J111" s="40">
        <v>0.56</v>
      </c>
      <c r="K111" s="40"/>
      <c r="L111" s="40"/>
      <c r="M111" s="40"/>
      <c r="N111" s="14">
        <f t="shared" si="5"/>
        <v>10.390000000000002</v>
      </c>
    </row>
    <row r="112" spans="1:14" ht="12">
      <c r="A112" s="39" t="s">
        <v>95</v>
      </c>
      <c r="B112" s="40">
        <v>1.16</v>
      </c>
      <c r="C112" s="40">
        <v>1.26</v>
      </c>
      <c r="D112" s="40">
        <v>1.33</v>
      </c>
      <c r="E112" s="40">
        <v>1.33</v>
      </c>
      <c r="F112" s="40">
        <f>0.25+1.14</f>
        <v>1.39</v>
      </c>
      <c r="G112" s="40">
        <v>2.28</v>
      </c>
      <c r="H112" s="40">
        <v>1.59</v>
      </c>
      <c r="I112" s="40">
        <v>1.18</v>
      </c>
      <c r="J112" s="40">
        <v>1.38</v>
      </c>
      <c r="K112" s="40">
        <f>0.98+0.17</f>
        <v>1.15</v>
      </c>
      <c r="L112" s="40">
        <v>1.69</v>
      </c>
      <c r="M112" s="40">
        <v>2.25</v>
      </c>
      <c r="N112" s="14">
        <f t="shared" si="5"/>
        <v>17.99</v>
      </c>
    </row>
    <row r="113" spans="1:14" ht="12">
      <c r="A113" s="39" t="s">
        <v>108</v>
      </c>
      <c r="B113" s="40">
        <v>0.29</v>
      </c>
      <c r="C113" s="40">
        <v>0.64</v>
      </c>
      <c r="D113" s="40">
        <v>0.37</v>
      </c>
      <c r="E113" s="40">
        <v>1.79</v>
      </c>
      <c r="F113" s="40">
        <v>0.43</v>
      </c>
      <c r="G113" s="40">
        <v>0.61</v>
      </c>
      <c r="H113" s="40"/>
      <c r="I113" s="40"/>
      <c r="J113" s="40">
        <v>0.76</v>
      </c>
      <c r="K113" s="40">
        <v>1.27</v>
      </c>
      <c r="L113" s="40">
        <v>0.58</v>
      </c>
      <c r="M113" s="40">
        <v>1.59</v>
      </c>
      <c r="N113" s="14">
        <f t="shared" si="5"/>
        <v>8.33</v>
      </c>
    </row>
    <row r="114" spans="1:14" ht="12">
      <c r="A114" s="39" t="s">
        <v>102</v>
      </c>
      <c r="B114" s="40">
        <v>34.98</v>
      </c>
      <c r="C114" s="40">
        <v>43.14</v>
      </c>
      <c r="D114" s="40">
        <v>44.36</v>
      </c>
      <c r="E114" s="40">
        <v>16.38</v>
      </c>
      <c r="F114" s="40"/>
      <c r="G114" s="40"/>
      <c r="H114" s="40"/>
      <c r="I114" s="40"/>
      <c r="J114" s="40"/>
      <c r="K114" s="40"/>
      <c r="L114" s="40"/>
      <c r="M114" s="40"/>
      <c r="N114" s="14">
        <f t="shared" si="5"/>
        <v>138.86</v>
      </c>
    </row>
    <row r="115" spans="1:14" ht="12">
      <c r="A115" s="39" t="s">
        <v>122</v>
      </c>
      <c r="B115" s="40">
        <v>31.12</v>
      </c>
      <c r="C115" s="40">
        <v>39.55</v>
      </c>
      <c r="D115" s="40">
        <v>27.93</v>
      </c>
      <c r="E115" s="40">
        <v>36.17</v>
      </c>
      <c r="F115" s="40">
        <f>10.02+24.47</f>
        <v>34.489999999999995</v>
      </c>
      <c r="G115" s="40">
        <v>37.81</v>
      </c>
      <c r="H115" s="40">
        <v>37.76</v>
      </c>
      <c r="I115" s="40">
        <v>36.05</v>
      </c>
      <c r="J115" s="40">
        <v>48.88</v>
      </c>
      <c r="K115" s="40">
        <v>44.96</v>
      </c>
      <c r="L115" s="40">
        <v>46.97</v>
      </c>
      <c r="M115" s="40">
        <v>49.44</v>
      </c>
      <c r="N115" s="14">
        <f t="shared" si="5"/>
        <v>471.12999999999994</v>
      </c>
    </row>
    <row r="116" spans="1:14" ht="12">
      <c r="A116" s="39" t="s">
        <v>110</v>
      </c>
      <c r="B116" s="40">
        <v>1.83</v>
      </c>
      <c r="C116" s="40">
        <f>2.54+1.11</f>
        <v>3.6500000000000004</v>
      </c>
      <c r="D116" s="40">
        <v>2.69</v>
      </c>
      <c r="E116" s="40">
        <v>1.38</v>
      </c>
      <c r="F116" s="40">
        <v>2.12</v>
      </c>
      <c r="G116" s="40">
        <f>8.61+1.88</f>
        <v>10.489999999999998</v>
      </c>
      <c r="H116" s="40">
        <f>0.65+3.4</f>
        <v>4.05</v>
      </c>
      <c r="I116" s="40">
        <v>4.11</v>
      </c>
      <c r="J116" s="40">
        <v>2.75</v>
      </c>
      <c r="K116" s="40">
        <f>3.91+0.79</f>
        <v>4.7</v>
      </c>
      <c r="L116" s="40">
        <v>3.29</v>
      </c>
      <c r="M116" s="40">
        <v>4.57</v>
      </c>
      <c r="N116" s="14">
        <f t="shared" si="5"/>
        <v>45.63</v>
      </c>
    </row>
    <row r="117" spans="1:14" ht="12">
      <c r="A117" s="39" t="s">
        <v>2</v>
      </c>
      <c r="B117" s="40"/>
      <c r="C117" s="40"/>
      <c r="D117" s="40"/>
      <c r="E117" s="40"/>
      <c r="F117" s="40"/>
      <c r="G117" s="40">
        <v>2.68</v>
      </c>
      <c r="H117" s="40"/>
      <c r="I117" s="40"/>
      <c r="J117" s="40"/>
      <c r="K117" s="40"/>
      <c r="L117" s="40"/>
      <c r="M117" s="40"/>
      <c r="N117" s="14">
        <f t="shared" si="5"/>
        <v>2.68</v>
      </c>
    </row>
    <row r="118" spans="1:14" ht="12">
      <c r="A118" s="39" t="s">
        <v>104</v>
      </c>
      <c r="B118" s="40">
        <v>10.89</v>
      </c>
      <c r="C118" s="40">
        <f>24.2+7.91</f>
        <v>32.11</v>
      </c>
      <c r="D118" s="40">
        <f>27.07+4.59</f>
        <v>31.66</v>
      </c>
      <c r="E118" s="40">
        <f>27.37+2.68</f>
        <v>30.05</v>
      </c>
      <c r="F118" s="40">
        <f>15.69+34.84</f>
        <v>50.53</v>
      </c>
      <c r="G118" s="40">
        <v>47.64</v>
      </c>
      <c r="H118" s="40">
        <v>37.29</v>
      </c>
      <c r="I118" s="40">
        <f>2.13+37.6</f>
        <v>39.730000000000004</v>
      </c>
      <c r="J118" s="40">
        <v>40.1</v>
      </c>
      <c r="K118" s="40">
        <v>44.16</v>
      </c>
      <c r="L118" s="40">
        <v>64.69</v>
      </c>
      <c r="M118" s="40">
        <f>50.66+1.74+30.26+8.49</f>
        <v>91.14999999999999</v>
      </c>
      <c r="N118" s="14">
        <f t="shared" si="5"/>
        <v>520</v>
      </c>
    </row>
    <row r="119" spans="1:14" ht="12">
      <c r="A119" s="39" t="s">
        <v>101</v>
      </c>
      <c r="B119" s="40">
        <f>10.83+7.67</f>
        <v>18.5</v>
      </c>
      <c r="C119" s="40">
        <v>18.86</v>
      </c>
      <c r="D119" s="40">
        <f>6.6+3.89</f>
        <v>10.49</v>
      </c>
      <c r="E119" s="40">
        <f>8.83+3.12</f>
        <v>11.95</v>
      </c>
      <c r="F119" s="40">
        <v>5.24</v>
      </c>
      <c r="G119" s="40">
        <v>11.13</v>
      </c>
      <c r="H119" s="40">
        <f>5.01+21.98</f>
        <v>26.990000000000002</v>
      </c>
      <c r="I119" s="40">
        <f>3.64+22.35</f>
        <v>25.990000000000002</v>
      </c>
      <c r="J119" s="40"/>
      <c r="K119" s="40"/>
      <c r="L119" s="40"/>
      <c r="M119" s="40">
        <f>5.06+3.78</f>
        <v>8.84</v>
      </c>
      <c r="N119" s="14">
        <f t="shared" si="5"/>
        <v>137.99</v>
      </c>
    </row>
    <row r="120" spans="1:14" ht="12">
      <c r="A120" s="39" t="s">
        <v>8</v>
      </c>
      <c r="B120" s="40">
        <v>9.56</v>
      </c>
      <c r="C120" s="40">
        <v>11.34</v>
      </c>
      <c r="D120" s="40"/>
      <c r="E120" s="40">
        <v>4.6</v>
      </c>
      <c r="F120" s="40">
        <v>7.98</v>
      </c>
      <c r="G120" s="40"/>
      <c r="H120" s="40">
        <v>7.76</v>
      </c>
      <c r="I120" s="40"/>
      <c r="J120" s="40"/>
      <c r="K120" s="40"/>
      <c r="L120" s="40"/>
      <c r="M120" s="40"/>
      <c r="N120" s="14">
        <f t="shared" si="5"/>
        <v>41.24</v>
      </c>
    </row>
    <row r="121" spans="1:14" ht="12">
      <c r="A121" s="39" t="s">
        <v>97</v>
      </c>
      <c r="B121" s="40">
        <v>3.63</v>
      </c>
      <c r="C121" s="40">
        <f>1.48+2.65</f>
        <v>4.13</v>
      </c>
      <c r="D121" s="40">
        <v>1.63</v>
      </c>
      <c r="E121" s="40">
        <v>5.53</v>
      </c>
      <c r="F121" s="40">
        <v>1.69</v>
      </c>
      <c r="G121" s="40">
        <v>2.15</v>
      </c>
      <c r="H121" s="40">
        <v>3.24</v>
      </c>
      <c r="I121" s="40">
        <v>1.92</v>
      </c>
      <c r="J121" s="40">
        <v>5.02</v>
      </c>
      <c r="K121" s="40">
        <v>3.92</v>
      </c>
      <c r="L121" s="40">
        <v>1.66</v>
      </c>
      <c r="M121" s="40"/>
      <c r="N121" s="14">
        <f t="shared" si="5"/>
        <v>34.519999999999996</v>
      </c>
    </row>
    <row r="122" spans="1:14" ht="12">
      <c r="A122" s="39" t="s">
        <v>96</v>
      </c>
      <c r="B122" s="40">
        <v>0.75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14">
        <f t="shared" si="5"/>
        <v>0.75</v>
      </c>
    </row>
    <row r="123" spans="1:14" ht="12">
      <c r="A123" s="39" t="s">
        <v>103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14">
        <f t="shared" si="5"/>
        <v>0</v>
      </c>
    </row>
    <row r="124" spans="1:14" ht="12">
      <c r="A124" s="39" t="s">
        <v>98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14">
        <f t="shared" si="5"/>
        <v>0</v>
      </c>
    </row>
    <row r="125" spans="1:14" ht="12">
      <c r="A125" s="39" t="s">
        <v>99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14">
        <f t="shared" si="5"/>
        <v>0</v>
      </c>
    </row>
    <row r="126" spans="1:14" ht="12">
      <c r="A126" s="39" t="s">
        <v>100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14">
        <f t="shared" si="5"/>
        <v>0</v>
      </c>
    </row>
    <row r="127" spans="1:14" ht="12">
      <c r="A127" s="39" t="s">
        <v>12</v>
      </c>
      <c r="B127" s="40"/>
      <c r="C127" s="40">
        <v>1.86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14"/>
    </row>
    <row r="128" spans="1:14" ht="12">
      <c r="A128" s="39" t="s">
        <v>111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14">
        <f t="shared" si="5"/>
        <v>0</v>
      </c>
    </row>
    <row r="129" spans="1:14" ht="12">
      <c r="A129" s="39" t="s">
        <v>113</v>
      </c>
      <c r="B129" s="40"/>
      <c r="C129" s="40">
        <v>1.81</v>
      </c>
      <c r="D129" s="40"/>
      <c r="E129" s="40"/>
      <c r="F129" s="40"/>
      <c r="G129" s="40">
        <v>3.49</v>
      </c>
      <c r="H129" s="40"/>
      <c r="I129" s="40"/>
      <c r="J129" s="40"/>
      <c r="K129" s="40">
        <v>3.11</v>
      </c>
      <c r="L129" s="40"/>
      <c r="M129" s="40"/>
      <c r="N129" s="14">
        <f t="shared" si="5"/>
        <v>8.41</v>
      </c>
    </row>
    <row r="130" spans="1:14" ht="12">
      <c r="A130" s="39" t="s">
        <v>0</v>
      </c>
      <c r="B130" s="40">
        <v>1.05</v>
      </c>
      <c r="C130" s="40">
        <f>3.04+1.97</f>
        <v>5.01</v>
      </c>
      <c r="D130" s="40">
        <v>6.44</v>
      </c>
      <c r="E130" s="40">
        <v>3.9</v>
      </c>
      <c r="F130" s="40">
        <f>12.46+1.03</f>
        <v>13.49</v>
      </c>
      <c r="G130" s="40">
        <v>2.26</v>
      </c>
      <c r="H130" s="40">
        <v>1.94</v>
      </c>
      <c r="I130" s="40">
        <v>3.23</v>
      </c>
      <c r="J130" s="40">
        <v>5.08</v>
      </c>
      <c r="K130" s="40">
        <v>7.29</v>
      </c>
      <c r="L130" s="40">
        <v>3.16</v>
      </c>
      <c r="M130" s="40">
        <f>1+3.15</f>
        <v>4.15</v>
      </c>
      <c r="N130" s="14">
        <f t="shared" si="5"/>
        <v>56.99999999999999</v>
      </c>
    </row>
    <row r="131" spans="1:14" ht="12">
      <c r="A131" s="39" t="s">
        <v>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14">
        <f t="shared" si="5"/>
        <v>0</v>
      </c>
    </row>
    <row r="132" spans="1:14" ht="12">
      <c r="A132" s="39" t="s">
        <v>19</v>
      </c>
      <c r="B132" s="40"/>
      <c r="C132" s="40">
        <v>2.17</v>
      </c>
      <c r="D132" s="40">
        <v>3.1</v>
      </c>
      <c r="E132" s="40">
        <v>1.66</v>
      </c>
      <c r="F132" s="40">
        <f>1.72+5.15+1.86</f>
        <v>8.73</v>
      </c>
      <c r="G132" s="40">
        <v>12.34</v>
      </c>
      <c r="H132" s="40">
        <v>6.46</v>
      </c>
      <c r="I132" s="40">
        <v>2.24</v>
      </c>
      <c r="J132" s="40">
        <v>16.15</v>
      </c>
      <c r="K132" s="40">
        <v>16.01</v>
      </c>
      <c r="L132" s="40">
        <v>5.74</v>
      </c>
      <c r="M132" s="40"/>
      <c r="N132" s="14"/>
    </row>
    <row r="133" spans="1:14" ht="12">
      <c r="A133" s="39" t="s">
        <v>21</v>
      </c>
      <c r="B133" s="40"/>
      <c r="C133" s="40"/>
      <c r="D133" s="40">
        <v>7.82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14"/>
    </row>
    <row r="134" spans="1:14" ht="12">
      <c r="A134" s="39" t="s">
        <v>22</v>
      </c>
      <c r="B134" s="40"/>
      <c r="C134" s="40"/>
      <c r="D134" s="40">
        <v>27.62</v>
      </c>
      <c r="E134" s="40">
        <v>40.84</v>
      </c>
      <c r="F134" s="40">
        <f>16.71+37.78</f>
        <v>54.49</v>
      </c>
      <c r="G134" s="40">
        <v>53.92</v>
      </c>
      <c r="H134" s="40">
        <v>43.26</v>
      </c>
      <c r="I134" s="40">
        <v>44.48</v>
      </c>
      <c r="J134" s="40">
        <v>59.46</v>
      </c>
      <c r="K134" s="40">
        <v>42.85</v>
      </c>
      <c r="L134" s="40">
        <v>27.81</v>
      </c>
      <c r="M134" s="40">
        <v>52.28</v>
      </c>
      <c r="N134" s="14"/>
    </row>
    <row r="135" spans="1:14" ht="12">
      <c r="A135" s="39" t="s">
        <v>26</v>
      </c>
      <c r="B135" s="40"/>
      <c r="C135" s="40"/>
      <c r="D135" s="40"/>
      <c r="E135" s="40"/>
      <c r="F135" s="40">
        <v>33.05</v>
      </c>
      <c r="G135" s="40"/>
      <c r="H135" s="40"/>
      <c r="I135" s="40"/>
      <c r="J135" s="40">
        <v>26.14</v>
      </c>
      <c r="K135" s="40">
        <f>19.89+2.83</f>
        <v>22.72</v>
      </c>
      <c r="L135" s="40">
        <v>27.35</v>
      </c>
      <c r="M135" s="40"/>
      <c r="N135" s="14"/>
    </row>
    <row r="136" spans="1:14" ht="12">
      <c r="A136" s="39" t="s">
        <v>127</v>
      </c>
      <c r="B136" s="40">
        <f>3.09+0.49</f>
        <v>3.58</v>
      </c>
      <c r="C136" s="40">
        <f>2.22+0.21</f>
        <v>2.43</v>
      </c>
      <c r="D136" s="40">
        <f>1.61+0.11</f>
        <v>1.7200000000000002</v>
      </c>
      <c r="E136" s="40">
        <f>2+2.64+0.36</f>
        <v>5.000000000000001</v>
      </c>
      <c r="F136" s="40">
        <f>0.63+1.09+0.06+1.76</f>
        <v>3.54</v>
      </c>
      <c r="G136" s="40">
        <f>0.28+1.84+1.13</f>
        <v>3.25</v>
      </c>
      <c r="H136" s="40">
        <f>0.2+1.6+2.54</f>
        <v>4.34</v>
      </c>
      <c r="I136" s="40">
        <f>0.13+0.9+1.41</f>
        <v>2.44</v>
      </c>
      <c r="J136" s="40">
        <f>0.15+1.62</f>
        <v>1.77</v>
      </c>
      <c r="K136" s="40">
        <f>0.16+0.84+1.62</f>
        <v>2.62</v>
      </c>
      <c r="L136" s="40">
        <f>0.08+1.18</f>
        <v>1.26</v>
      </c>
      <c r="M136" s="40">
        <f>0.1+2.42+4.29</f>
        <v>6.8100000000000005</v>
      </c>
      <c r="N136" s="14">
        <f t="shared" si="5"/>
        <v>38.760000000000005</v>
      </c>
    </row>
    <row r="137" spans="1:14" ht="12">
      <c r="A137" s="14" t="s">
        <v>90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14">
        <f t="shared" si="5"/>
        <v>0</v>
      </c>
    </row>
    <row r="138" spans="1:14" ht="12">
      <c r="A138" s="15" t="s">
        <v>109</v>
      </c>
      <c r="B138" s="41">
        <f>SUM(B95:B99)</f>
        <v>401.58000000000004</v>
      </c>
      <c r="C138" s="41">
        <f>SUM(C95:C99)</f>
        <v>415.60999999999996</v>
      </c>
      <c r="D138" s="41">
        <f aca="true" t="shared" si="6" ref="D138:N138">SUM(D95:D99)</f>
        <v>481.03</v>
      </c>
      <c r="E138" s="41">
        <f t="shared" si="6"/>
        <v>497.79999999999995</v>
      </c>
      <c r="F138" s="41">
        <f t="shared" si="6"/>
        <v>547.96</v>
      </c>
      <c r="G138" s="41">
        <f>SUM(G95:G99)</f>
        <v>487.38</v>
      </c>
      <c r="H138" s="41">
        <f t="shared" si="6"/>
        <v>509.67</v>
      </c>
      <c r="I138" s="41">
        <f>SUM(I96:I99)</f>
        <v>479.62999999999994</v>
      </c>
      <c r="J138" s="41">
        <f>SUM(J96:J99)</f>
        <v>552.52</v>
      </c>
      <c r="K138" s="41">
        <f>SUM(K96:K99)</f>
        <v>518.4200000000001</v>
      </c>
      <c r="L138" s="41">
        <f>SUM(L95:L99)</f>
        <v>540.52</v>
      </c>
      <c r="M138" s="41">
        <f>SUM(M96:M99)</f>
        <v>507.38</v>
      </c>
      <c r="N138" s="41">
        <f t="shared" si="6"/>
        <v>5939.5</v>
      </c>
    </row>
    <row r="141" ht="12">
      <c r="D141" s="14" t="s">
        <v>31</v>
      </c>
    </row>
    <row r="143" ht="12">
      <c r="F143" s="37" t="s">
        <v>112</v>
      </c>
    </row>
    <row r="145" spans="1:14" ht="12">
      <c r="A145" s="37" t="s">
        <v>117</v>
      </c>
      <c r="B145" s="38">
        <v>36708</v>
      </c>
      <c r="C145" s="38">
        <v>36739</v>
      </c>
      <c r="D145" s="38">
        <v>36770</v>
      </c>
      <c r="E145" s="38">
        <v>36800</v>
      </c>
      <c r="F145" s="38">
        <v>36831</v>
      </c>
      <c r="G145" s="38">
        <v>36861</v>
      </c>
      <c r="H145" s="38">
        <v>36892</v>
      </c>
      <c r="I145" s="38">
        <v>36923</v>
      </c>
      <c r="J145" s="38">
        <v>36951</v>
      </c>
      <c r="K145" s="38">
        <v>36982</v>
      </c>
      <c r="L145" s="38">
        <v>37012</v>
      </c>
      <c r="M145" s="38">
        <v>37043</v>
      </c>
      <c r="N145" s="37" t="s">
        <v>115</v>
      </c>
    </row>
    <row r="146" spans="1:14" ht="12">
      <c r="A146" s="14" t="s">
        <v>51</v>
      </c>
      <c r="B146" s="40">
        <f>SUM('Monthly Summary Reports'!E59)</f>
        <v>0</v>
      </c>
      <c r="C146" s="40">
        <v>4.01</v>
      </c>
      <c r="D146" s="40">
        <v>1.03</v>
      </c>
      <c r="E146" s="40">
        <v>1.32</v>
      </c>
      <c r="F146" s="40">
        <v>0</v>
      </c>
      <c r="G146" s="40">
        <v>0</v>
      </c>
      <c r="H146" s="40">
        <v>0</v>
      </c>
      <c r="I146" s="40">
        <v>0</v>
      </c>
      <c r="J146" s="40">
        <v>5.56</v>
      </c>
      <c r="K146" s="40">
        <v>2.37</v>
      </c>
      <c r="L146" s="40">
        <v>0.45</v>
      </c>
      <c r="M146" s="40">
        <v>1.42</v>
      </c>
      <c r="N146" s="14">
        <f>SUM(B146:M146)</f>
        <v>16.159999999999997</v>
      </c>
    </row>
    <row r="147" spans="1:14" ht="12">
      <c r="A147" s="15" t="s">
        <v>109</v>
      </c>
      <c r="B147" s="14">
        <f>SUM(B146)</f>
        <v>0</v>
      </c>
      <c r="C147" s="14">
        <f aca="true" t="shared" si="7" ref="C147:M147">SUM(C146)</f>
        <v>4.01</v>
      </c>
      <c r="D147" s="14">
        <f t="shared" si="7"/>
        <v>1.03</v>
      </c>
      <c r="E147" s="14">
        <f t="shared" si="7"/>
        <v>1.32</v>
      </c>
      <c r="F147" s="14">
        <f t="shared" si="7"/>
        <v>0</v>
      </c>
      <c r="G147" s="14">
        <f t="shared" si="7"/>
        <v>0</v>
      </c>
      <c r="H147" s="14">
        <f t="shared" si="7"/>
        <v>0</v>
      </c>
      <c r="I147" s="14">
        <f t="shared" si="7"/>
        <v>0</v>
      </c>
      <c r="J147" s="14">
        <f t="shared" si="7"/>
        <v>5.56</v>
      </c>
      <c r="K147" s="14">
        <f t="shared" si="7"/>
        <v>2.37</v>
      </c>
      <c r="L147" s="14">
        <f t="shared" si="7"/>
        <v>0.45</v>
      </c>
      <c r="M147" s="14">
        <f t="shared" si="7"/>
        <v>1.42</v>
      </c>
      <c r="N147" s="14">
        <f>SUM(B147:M147)</f>
        <v>16.159999999999997</v>
      </c>
    </row>
    <row r="151" ht="12">
      <c r="D151" s="14" t="s">
        <v>31</v>
      </c>
    </row>
    <row r="153" spans="2:14" ht="12">
      <c r="B153" s="38">
        <v>36708</v>
      </c>
      <c r="C153" s="38">
        <v>36739</v>
      </c>
      <c r="D153" s="38">
        <v>36770</v>
      </c>
      <c r="E153" s="38">
        <v>36800</v>
      </c>
      <c r="F153" s="38">
        <v>36831</v>
      </c>
      <c r="G153" s="38">
        <v>36861</v>
      </c>
      <c r="H153" s="38">
        <v>36892</v>
      </c>
      <c r="I153" s="38">
        <v>36923</v>
      </c>
      <c r="J153" s="38">
        <v>36951</v>
      </c>
      <c r="K153" s="38">
        <v>36982</v>
      </c>
      <c r="L153" s="38">
        <v>37012</v>
      </c>
      <c r="M153" s="38">
        <v>37043</v>
      </c>
      <c r="N153" s="37" t="s">
        <v>115</v>
      </c>
    </row>
    <row r="154" spans="1:14" ht="12">
      <c r="A154" s="15" t="s">
        <v>116</v>
      </c>
      <c r="B154" s="40">
        <f aca="true" t="shared" si="8" ref="B154:M154">SUM(B147+B138+B90+B45)</f>
        <v>976.4300000000001</v>
      </c>
      <c r="C154" s="40">
        <f t="shared" si="8"/>
        <v>1126.55</v>
      </c>
      <c r="D154" s="40">
        <f t="shared" si="8"/>
        <v>1090.17</v>
      </c>
      <c r="E154" s="40">
        <f t="shared" si="8"/>
        <v>1124.87</v>
      </c>
      <c r="F154" s="40">
        <f t="shared" si="8"/>
        <v>1176.24</v>
      </c>
      <c r="G154" s="40">
        <f t="shared" si="8"/>
        <v>1022.3499999999999</v>
      </c>
      <c r="H154" s="40">
        <f t="shared" si="8"/>
        <v>1107.0900000000001</v>
      </c>
      <c r="I154" s="40">
        <f t="shared" si="8"/>
        <v>979.79</v>
      </c>
      <c r="J154" s="40">
        <f t="shared" si="8"/>
        <v>1188.08</v>
      </c>
      <c r="K154" s="40">
        <f t="shared" si="8"/>
        <v>1085.8400000000001</v>
      </c>
      <c r="L154" s="40">
        <f t="shared" si="8"/>
        <v>1192.48</v>
      </c>
      <c r="M154" s="40">
        <f t="shared" si="8"/>
        <v>1068.06</v>
      </c>
      <c r="N154" s="59">
        <f>SUM(B154:M154)</f>
        <v>13137.95</v>
      </c>
    </row>
    <row r="155" spans="1:14" ht="12">
      <c r="A155" s="13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ht="12">
      <c r="A156" s="15"/>
    </row>
  </sheetData>
  <printOptions gridLines="1"/>
  <pageMargins left="0.5" right="0.5" top="0.5" bottom="0.5" header="0.5" footer="0.5"/>
  <pageSetup horizontalDpi="600" verticalDpi="600" orientation="landscape" scale="90"/>
  <rowBreaks count="2" manualBreakCount="2">
    <brk id="45" max="255" man="1"/>
    <brk id="9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M16" sqref="M16"/>
    </sheetView>
  </sheetViews>
  <sheetFormatPr defaultColWidth="11.421875" defaultRowHeight="12.75"/>
  <cols>
    <col min="1" max="1" width="20.00390625" style="0" customWidth="1"/>
    <col min="2" max="2" width="7.7109375" style="0" customWidth="1"/>
    <col min="3" max="3" width="8.7109375" style="0" customWidth="1"/>
    <col min="4" max="5" width="7.7109375" style="0" customWidth="1"/>
    <col min="6" max="7" width="8.7109375" style="0" customWidth="1"/>
    <col min="8" max="9" width="7.7109375" style="0" customWidth="1"/>
    <col min="10" max="10" width="8.421875" style="0" customWidth="1"/>
    <col min="11" max="11" width="8.140625" style="0" customWidth="1"/>
    <col min="12" max="12" width="8.7109375" style="0" customWidth="1"/>
    <col min="13" max="13" width="8.140625" style="0" customWidth="1"/>
    <col min="14" max="14" width="8.00390625" style="0" customWidth="1"/>
    <col min="15" max="16384" width="8.8515625" style="0" customWidth="1"/>
  </cols>
  <sheetData>
    <row r="1" spans="1:14" ht="12">
      <c r="A1" s="14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">
      <c r="A2" s="14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">
      <c r="A3" s="14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">
      <c r="A4" s="14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">
      <c r="A6" s="13"/>
      <c r="B6" s="38">
        <v>36708</v>
      </c>
      <c r="C6" s="38">
        <v>36739</v>
      </c>
      <c r="D6" s="38">
        <v>36770</v>
      </c>
      <c r="E6" s="38">
        <v>36800</v>
      </c>
      <c r="F6" s="38">
        <v>36831</v>
      </c>
      <c r="G6" s="38">
        <v>36861</v>
      </c>
      <c r="H6" s="38">
        <v>36892</v>
      </c>
      <c r="I6" s="38">
        <v>36923</v>
      </c>
      <c r="J6" s="38">
        <v>36951</v>
      </c>
      <c r="K6" s="38">
        <v>36982</v>
      </c>
      <c r="L6" s="38">
        <v>37012</v>
      </c>
      <c r="M6" s="38">
        <v>37043</v>
      </c>
      <c r="N6" s="37" t="s">
        <v>115</v>
      </c>
    </row>
    <row r="7" spans="1:14" ht="12">
      <c r="A7" s="14" t="s">
        <v>118</v>
      </c>
      <c r="B7" s="48">
        <f>SUM('Monthly Summary Reports'!C61)</f>
        <v>9.08</v>
      </c>
      <c r="C7" s="48">
        <v>24.2</v>
      </c>
      <c r="D7" s="48">
        <v>15.15</v>
      </c>
      <c r="E7" s="48">
        <f>17.89+0.79</f>
        <v>18.68</v>
      </c>
      <c r="F7" s="48">
        <v>9.41</v>
      </c>
      <c r="G7" s="48">
        <v>9.42</v>
      </c>
      <c r="H7" s="48">
        <v>4.14</v>
      </c>
      <c r="I7" s="48">
        <v>4.58</v>
      </c>
      <c r="J7" s="48">
        <f>10.3+0.66+1.78</f>
        <v>12.74</v>
      </c>
      <c r="K7" s="48">
        <v>1.04</v>
      </c>
      <c r="L7">
        <f>30.19+0.97</f>
        <v>31.16</v>
      </c>
      <c r="M7" s="48">
        <v>26.36</v>
      </c>
      <c r="N7" s="14">
        <f>SUM(B7:M7)</f>
        <v>165.95999999999998</v>
      </c>
    </row>
    <row r="8" spans="1:14" ht="12">
      <c r="A8" s="14" t="s">
        <v>119</v>
      </c>
      <c r="B8" s="13">
        <f>SUM('Monthly Summary Reports'!D61)</f>
        <v>3.71</v>
      </c>
      <c r="C8" s="13">
        <f>10.24+0.6</f>
        <v>10.84</v>
      </c>
      <c r="D8" s="13">
        <v>16.79</v>
      </c>
      <c r="E8" s="13">
        <v>5.23</v>
      </c>
      <c r="F8" s="13">
        <v>7.2</v>
      </c>
      <c r="G8" s="13">
        <v>4.75</v>
      </c>
      <c r="H8" s="13">
        <v>4.8</v>
      </c>
      <c r="I8" s="13">
        <v>4.53</v>
      </c>
      <c r="J8" s="13">
        <v>7.03</v>
      </c>
      <c r="K8" s="13">
        <v>4.8</v>
      </c>
      <c r="L8" s="13">
        <v>10.05</v>
      </c>
      <c r="M8" s="13">
        <v>18.31</v>
      </c>
      <c r="N8" s="14">
        <f>SUM(B8:M8)</f>
        <v>98.03999999999999</v>
      </c>
    </row>
    <row r="9" spans="1:14" ht="12">
      <c r="A9" s="14" t="s">
        <v>120</v>
      </c>
      <c r="B9" s="48">
        <f>SUM('Monthly Summary Reports'!F61)</f>
        <v>38.87</v>
      </c>
      <c r="C9" s="48">
        <f>5.72+1.93+7.81+3.88</f>
        <v>19.34</v>
      </c>
      <c r="D9" s="48">
        <f>21.4+15.96+8.93+3.65</f>
        <v>49.94</v>
      </c>
      <c r="E9" s="48">
        <f>3.25+9.83+2.86</f>
        <v>15.94</v>
      </c>
      <c r="F9" s="48">
        <v>50.5</v>
      </c>
      <c r="G9" s="48">
        <v>48.82</v>
      </c>
      <c r="H9" s="48">
        <v>60.03</v>
      </c>
      <c r="I9" s="48">
        <v>66.35</v>
      </c>
      <c r="J9" s="48">
        <f>60.07+4.65+0.54+4.39+5.29</f>
        <v>74.94000000000001</v>
      </c>
      <c r="K9" s="48">
        <f>13.21+15.6+15.54+3.28+7.69+4.31+1.81</f>
        <v>61.440000000000005</v>
      </c>
      <c r="L9" s="48">
        <f>23.84+0.94+11.46</f>
        <v>36.24</v>
      </c>
      <c r="M9" s="48">
        <v>11.82</v>
      </c>
      <c r="N9" s="14">
        <f>SUM(B9:M9)</f>
        <v>534.23</v>
      </c>
    </row>
    <row r="10" spans="1:14" ht="12">
      <c r="A10" s="15" t="s">
        <v>74</v>
      </c>
      <c r="B10" s="13">
        <f>SUM(B7:B9)</f>
        <v>51.66</v>
      </c>
      <c r="C10" s="13">
        <f aca="true" t="shared" si="0" ref="C10:M10">SUM(C7:C9)</f>
        <v>54.379999999999995</v>
      </c>
      <c r="D10" s="13">
        <f t="shared" si="0"/>
        <v>81.88</v>
      </c>
      <c r="E10" s="13">
        <f t="shared" si="0"/>
        <v>39.85</v>
      </c>
      <c r="F10" s="13">
        <f t="shared" si="0"/>
        <v>67.11</v>
      </c>
      <c r="G10" s="13">
        <f t="shared" si="0"/>
        <v>62.99</v>
      </c>
      <c r="H10" s="13">
        <f t="shared" si="0"/>
        <v>68.97</v>
      </c>
      <c r="I10" s="13">
        <f t="shared" si="0"/>
        <v>75.46</v>
      </c>
      <c r="J10" s="13">
        <f t="shared" si="0"/>
        <v>94.71000000000001</v>
      </c>
      <c r="K10" s="13">
        <f t="shared" si="0"/>
        <v>67.28</v>
      </c>
      <c r="L10" s="13">
        <f>SUM(L7:L9)</f>
        <v>77.45</v>
      </c>
      <c r="M10" s="13">
        <f t="shared" si="0"/>
        <v>56.49</v>
      </c>
      <c r="N10" s="14">
        <f>SUM(N7:N9)</f>
        <v>798.23</v>
      </c>
    </row>
    <row r="11" spans="1:14" ht="12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12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1:14" ht="12">
      <c r="A13" s="14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ht="12">
      <c r="A14" s="14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4" ht="12">
      <c r="A15" s="14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ht="12">
      <c r="A16" s="14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1:14" ht="12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8" spans="1:14" ht="12">
      <c r="A18" s="13"/>
      <c r="B18" s="38">
        <v>36708</v>
      </c>
      <c r="C18" s="38">
        <v>36739</v>
      </c>
      <c r="D18" s="38">
        <v>36770</v>
      </c>
      <c r="E18" s="38">
        <v>36800</v>
      </c>
      <c r="F18" s="38">
        <v>36831</v>
      </c>
      <c r="G18" s="38">
        <v>36861</v>
      </c>
      <c r="H18" s="38">
        <v>36892</v>
      </c>
      <c r="I18" s="38">
        <v>36923</v>
      </c>
      <c r="J18" s="38">
        <v>36951</v>
      </c>
      <c r="K18" s="38">
        <v>36982</v>
      </c>
      <c r="L18" s="38">
        <v>37012</v>
      </c>
      <c r="M18" s="38">
        <v>37043</v>
      </c>
      <c r="N18" s="37" t="s">
        <v>115</v>
      </c>
    </row>
    <row r="19" spans="1:14" ht="12">
      <c r="A19" s="14" t="s">
        <v>45</v>
      </c>
      <c r="B19" s="13">
        <f>SUM(B7+B9)</f>
        <v>47.949999999999996</v>
      </c>
      <c r="C19" s="13">
        <f aca="true" t="shared" si="1" ref="C19:M19">SUM(C7+C9)</f>
        <v>43.54</v>
      </c>
      <c r="D19" s="13">
        <f t="shared" si="1"/>
        <v>65.09</v>
      </c>
      <c r="E19" s="13">
        <f t="shared" si="1"/>
        <v>34.62</v>
      </c>
      <c r="F19" s="13">
        <f t="shared" si="1"/>
        <v>59.91</v>
      </c>
      <c r="G19" s="13">
        <f t="shared" si="1"/>
        <v>58.24</v>
      </c>
      <c r="H19" s="13">
        <f t="shared" si="1"/>
        <v>64.17</v>
      </c>
      <c r="I19" s="13">
        <f t="shared" si="1"/>
        <v>70.92999999999999</v>
      </c>
      <c r="J19" s="13">
        <f t="shared" si="1"/>
        <v>87.68</v>
      </c>
      <c r="K19" s="13">
        <f t="shared" si="1"/>
        <v>62.480000000000004</v>
      </c>
      <c r="L19" s="13">
        <f t="shared" si="1"/>
        <v>67.4</v>
      </c>
      <c r="M19" s="13">
        <f t="shared" si="1"/>
        <v>38.18</v>
      </c>
      <c r="N19" s="13">
        <f>SUM(B19:M19)</f>
        <v>700.1899999999999</v>
      </c>
    </row>
    <row r="20" spans="1:14" ht="12">
      <c r="A20" s="14" t="s">
        <v>119</v>
      </c>
      <c r="B20" s="13">
        <f>SUM(B8)</f>
        <v>3.71</v>
      </c>
      <c r="C20" s="13">
        <f aca="true" t="shared" si="2" ref="C20:M20">SUM(C8)</f>
        <v>10.84</v>
      </c>
      <c r="D20" s="13">
        <f t="shared" si="2"/>
        <v>16.79</v>
      </c>
      <c r="E20" s="13">
        <f t="shared" si="2"/>
        <v>5.23</v>
      </c>
      <c r="F20" s="13">
        <f t="shared" si="2"/>
        <v>7.2</v>
      </c>
      <c r="G20" s="13">
        <f t="shared" si="2"/>
        <v>4.75</v>
      </c>
      <c r="H20" s="13">
        <f t="shared" si="2"/>
        <v>4.8</v>
      </c>
      <c r="I20" s="13">
        <f t="shared" si="2"/>
        <v>4.53</v>
      </c>
      <c r="J20" s="13">
        <f t="shared" si="2"/>
        <v>7.03</v>
      </c>
      <c r="K20" s="13">
        <f t="shared" si="2"/>
        <v>4.8</v>
      </c>
      <c r="L20" s="13">
        <f t="shared" si="2"/>
        <v>10.05</v>
      </c>
      <c r="M20" s="13">
        <f t="shared" si="2"/>
        <v>18.31</v>
      </c>
      <c r="N20" s="13">
        <f>SUM(B20:M20)</f>
        <v>98.03999999999999</v>
      </c>
    </row>
    <row r="21" spans="1:14" ht="12">
      <c r="A21" s="15" t="s">
        <v>74</v>
      </c>
      <c r="B21" s="14">
        <f aca="true" t="shared" si="3" ref="B21:L21">SUM(B19:B20)</f>
        <v>51.66</v>
      </c>
      <c r="C21" s="14">
        <f t="shared" si="3"/>
        <v>54.379999999999995</v>
      </c>
      <c r="D21" s="14">
        <f t="shared" si="3"/>
        <v>81.88</v>
      </c>
      <c r="E21" s="14">
        <f t="shared" si="3"/>
        <v>39.849999999999994</v>
      </c>
      <c r="F21" s="14">
        <f t="shared" si="3"/>
        <v>67.11</v>
      </c>
      <c r="G21" s="14">
        <f t="shared" si="3"/>
        <v>62.99</v>
      </c>
      <c r="H21" s="14">
        <f t="shared" si="3"/>
        <v>68.97</v>
      </c>
      <c r="I21" s="14">
        <f t="shared" si="3"/>
        <v>75.46</v>
      </c>
      <c r="J21" s="14">
        <f t="shared" si="3"/>
        <v>94.71000000000001</v>
      </c>
      <c r="K21" s="14">
        <f t="shared" si="3"/>
        <v>67.28</v>
      </c>
      <c r="L21" s="14">
        <f t="shared" si="3"/>
        <v>77.45</v>
      </c>
      <c r="M21" s="14">
        <f>SUM(M19:M20)</f>
        <v>56.489999999999995</v>
      </c>
      <c r="N21" s="14">
        <f>SUM(N19+N20)</f>
        <v>798.2299999999999</v>
      </c>
    </row>
    <row r="22" spans="1:14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</sheetData>
  <printOptions/>
  <pageMargins left="0.5" right="0.5" top="1" bottom="1" header="0.5" footer="0.5"/>
  <pageSetup fitToHeight="1" fitToWidth="1" horizontalDpi="600" verticalDpi="600" orientation="landscape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J10" sqref="J10"/>
    </sheetView>
  </sheetViews>
  <sheetFormatPr defaultColWidth="11.421875" defaultRowHeight="12.75"/>
  <cols>
    <col min="1" max="1" width="22.140625" style="0" bestFit="1" customWidth="1"/>
    <col min="2" max="16384" width="8.8515625" style="0" customWidth="1"/>
  </cols>
  <sheetData>
    <row r="1" ht="15">
      <c r="A1" s="43" t="s">
        <v>4</v>
      </c>
    </row>
    <row r="2" ht="15">
      <c r="A2" s="43" t="s">
        <v>5</v>
      </c>
    </row>
    <row r="3" ht="15">
      <c r="A3" s="43" t="s">
        <v>10</v>
      </c>
    </row>
    <row r="4" ht="15">
      <c r="A4" s="43" t="s">
        <v>16</v>
      </c>
    </row>
    <row r="6" spans="1:14" ht="15">
      <c r="A6" s="44"/>
      <c r="B6" s="38">
        <v>36708</v>
      </c>
      <c r="C6" s="38">
        <v>36739</v>
      </c>
      <c r="D6" s="38">
        <v>36770</v>
      </c>
      <c r="E6" s="38">
        <v>36800</v>
      </c>
      <c r="F6" s="38">
        <v>36831</v>
      </c>
      <c r="G6" s="38">
        <v>36861</v>
      </c>
      <c r="H6" s="38">
        <v>36892</v>
      </c>
      <c r="I6" s="38">
        <v>36923</v>
      </c>
      <c r="J6" s="38">
        <v>36951</v>
      </c>
      <c r="K6" s="38">
        <v>36982</v>
      </c>
      <c r="L6" s="38">
        <v>37012</v>
      </c>
      <c r="M6" s="38">
        <v>37043</v>
      </c>
      <c r="N6" s="45" t="s">
        <v>115</v>
      </c>
    </row>
    <row r="7" spans="1:14" ht="15">
      <c r="A7" s="43" t="s">
        <v>118</v>
      </c>
      <c r="B7" s="46">
        <v>70.68</v>
      </c>
      <c r="C7" s="46">
        <v>99.52</v>
      </c>
      <c r="D7" s="46">
        <v>93.75</v>
      </c>
      <c r="E7" s="46">
        <v>97.41</v>
      </c>
      <c r="F7" s="46">
        <v>99.13</v>
      </c>
      <c r="G7" s="46">
        <v>89.53</v>
      </c>
      <c r="H7" s="46">
        <v>88.71</v>
      </c>
      <c r="I7" s="46">
        <v>78.68</v>
      </c>
      <c r="J7" s="46">
        <v>89.38</v>
      </c>
      <c r="K7" s="46">
        <v>81.4</v>
      </c>
      <c r="L7" s="46">
        <v>91.63</v>
      </c>
      <c r="M7" s="46">
        <v>83.86</v>
      </c>
      <c r="N7" s="43">
        <f>SUM(B7:M7)</f>
        <v>1063.68</v>
      </c>
    </row>
    <row r="8" spans="1:14" ht="15">
      <c r="A8" s="43" t="s">
        <v>119</v>
      </c>
      <c r="B8" s="44">
        <v>41.63</v>
      </c>
      <c r="C8" s="44">
        <v>54.01</v>
      </c>
      <c r="D8" s="44">
        <v>44.35</v>
      </c>
      <c r="E8" s="44">
        <v>48.82</v>
      </c>
      <c r="F8" s="44">
        <v>42.23</v>
      </c>
      <c r="G8" s="44">
        <v>39.73</v>
      </c>
      <c r="H8" s="44">
        <v>54.29</v>
      </c>
      <c r="I8" s="44">
        <v>43.76</v>
      </c>
      <c r="J8" s="44">
        <v>46.19</v>
      </c>
      <c r="K8" s="44">
        <v>45.73</v>
      </c>
      <c r="L8" s="44">
        <v>55.76</v>
      </c>
      <c r="M8" s="44">
        <v>48.63</v>
      </c>
      <c r="N8" s="43">
        <f>SUM(B8:M8)</f>
        <v>565.13</v>
      </c>
    </row>
    <row r="9" spans="1:14" ht="15">
      <c r="A9" s="43" t="s">
        <v>120</v>
      </c>
      <c r="B9" s="46"/>
      <c r="C9" s="46"/>
      <c r="D9" s="46">
        <v>2.77</v>
      </c>
      <c r="E9" s="46">
        <v>0</v>
      </c>
      <c r="F9" s="46">
        <v>3.13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1.66</v>
      </c>
      <c r="M9" s="46">
        <v>0</v>
      </c>
      <c r="N9" s="43">
        <f>SUM(B9:M9)</f>
        <v>7.5600000000000005</v>
      </c>
    </row>
    <row r="10" spans="1:14" ht="15">
      <c r="A10" s="47" t="s">
        <v>74</v>
      </c>
      <c r="B10" s="44">
        <f>SUM(B7:B9)</f>
        <v>112.31</v>
      </c>
      <c r="C10" s="44">
        <f aca="true" t="shared" si="0" ref="C10:M10">SUM(C7:C9)</f>
        <v>153.53</v>
      </c>
      <c r="D10" s="44">
        <f t="shared" si="0"/>
        <v>140.87</v>
      </c>
      <c r="E10" s="44">
        <f t="shared" si="0"/>
        <v>146.23</v>
      </c>
      <c r="F10" s="44">
        <f t="shared" si="0"/>
        <v>144.48999999999998</v>
      </c>
      <c r="G10" s="44">
        <f t="shared" si="0"/>
        <v>129.26</v>
      </c>
      <c r="H10" s="44">
        <f t="shared" si="0"/>
        <v>143</v>
      </c>
      <c r="I10" s="44">
        <f t="shared" si="0"/>
        <v>122.44</v>
      </c>
      <c r="J10" s="44">
        <f>SUM(J7:J9)</f>
        <v>135.57</v>
      </c>
      <c r="K10" s="44">
        <f>SUM(K7:K9)</f>
        <v>127.13</v>
      </c>
      <c r="L10" s="44">
        <f>SUM(L7:L9)</f>
        <v>149.04999999999998</v>
      </c>
      <c r="M10" s="44">
        <f t="shared" si="0"/>
        <v>132.49</v>
      </c>
      <c r="N10" s="43">
        <f>SUM(N7:N9)</f>
        <v>1636.37</v>
      </c>
    </row>
    <row r="11" spans="1:14" ht="15">
      <c r="A11" s="47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3"/>
    </row>
    <row r="12" spans="1:14" ht="15">
      <c r="A12" s="43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1:14" ht="15">
      <c r="A13" s="43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3"/>
    </row>
    <row r="14" spans="1:14" ht="15">
      <c r="A14" s="43" t="s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</row>
    <row r="15" spans="1:14" ht="15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</row>
    <row r="16" spans="1:14" ht="15">
      <c r="A16" s="4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4"/>
      <c r="B17" s="38">
        <v>36708</v>
      </c>
      <c r="C17" s="38">
        <v>36739</v>
      </c>
      <c r="D17" s="38">
        <v>36770</v>
      </c>
      <c r="E17" s="38">
        <v>36800</v>
      </c>
      <c r="F17" s="38">
        <v>36831</v>
      </c>
      <c r="G17" s="38">
        <v>36861</v>
      </c>
      <c r="H17" s="38">
        <v>36892</v>
      </c>
      <c r="I17" s="38">
        <v>36923</v>
      </c>
      <c r="J17" s="38">
        <v>36951</v>
      </c>
      <c r="K17" s="38">
        <v>36982</v>
      </c>
      <c r="L17" s="38">
        <v>37012</v>
      </c>
      <c r="M17" s="38">
        <v>37043</v>
      </c>
      <c r="N17" s="45" t="s">
        <v>115</v>
      </c>
    </row>
    <row r="18" spans="1:14" ht="15">
      <c r="A18" s="43" t="s">
        <v>45</v>
      </c>
      <c r="B18" s="44">
        <f>SUM(B7+B9)</f>
        <v>70.68</v>
      </c>
      <c r="C18" s="44">
        <f aca="true" t="shared" si="1" ref="C18:M18">SUM(C7+C9)</f>
        <v>99.52</v>
      </c>
      <c r="D18" s="44">
        <f t="shared" si="1"/>
        <v>96.52</v>
      </c>
      <c r="E18" s="44">
        <f t="shared" si="1"/>
        <v>97.41</v>
      </c>
      <c r="F18" s="44">
        <f>99.13+3.13</f>
        <v>102.25999999999999</v>
      </c>
      <c r="G18" s="44">
        <v>89.53</v>
      </c>
      <c r="H18" s="44">
        <v>88.71</v>
      </c>
      <c r="I18" s="44">
        <v>78.68</v>
      </c>
      <c r="J18" s="44">
        <f t="shared" si="1"/>
        <v>89.38</v>
      </c>
      <c r="K18" s="44">
        <f t="shared" si="1"/>
        <v>81.4</v>
      </c>
      <c r="L18" s="44">
        <f t="shared" si="1"/>
        <v>93.28999999999999</v>
      </c>
      <c r="M18" s="44">
        <f t="shared" si="1"/>
        <v>83.86</v>
      </c>
      <c r="N18" s="44">
        <f>SUM(B18:M18)</f>
        <v>1071.2399999999998</v>
      </c>
    </row>
    <row r="19" spans="1:14" ht="15">
      <c r="A19" s="43" t="s">
        <v>119</v>
      </c>
      <c r="B19" s="44">
        <f>SUM(B8)</f>
        <v>41.63</v>
      </c>
      <c r="C19" s="44">
        <f>SUM(C8)</f>
        <v>54.01</v>
      </c>
      <c r="D19" s="44">
        <f>SUM(D8)</f>
        <v>44.35</v>
      </c>
      <c r="E19" s="44">
        <f>SUM(E8)</f>
        <v>48.82</v>
      </c>
      <c r="F19" s="44">
        <v>42.23</v>
      </c>
      <c r="G19" s="44">
        <v>39.73</v>
      </c>
      <c r="H19" s="44">
        <v>54.29</v>
      </c>
      <c r="I19" s="44">
        <v>43.76</v>
      </c>
      <c r="J19" s="44">
        <f>SUM(J8)</f>
        <v>46.19</v>
      </c>
      <c r="K19" s="44">
        <f>SUM(K8)</f>
        <v>45.73</v>
      </c>
      <c r="L19" s="44">
        <f>SUM(L8)</f>
        <v>55.76</v>
      </c>
      <c r="M19" s="44">
        <f>SUM(M8)</f>
        <v>48.63</v>
      </c>
      <c r="N19" s="44">
        <f>SUM(B19:M19)</f>
        <v>565.13</v>
      </c>
    </row>
    <row r="20" spans="1:14" ht="15">
      <c r="A20" s="47" t="s">
        <v>74</v>
      </c>
      <c r="B20" s="43">
        <f aca="true" t="shared" si="2" ref="B20:L20">SUM(B18:B19)</f>
        <v>112.31</v>
      </c>
      <c r="C20" s="43">
        <f t="shared" si="2"/>
        <v>153.53</v>
      </c>
      <c r="D20" s="43">
        <f t="shared" si="2"/>
        <v>140.87</v>
      </c>
      <c r="E20" s="43">
        <f t="shared" si="2"/>
        <v>146.23</v>
      </c>
      <c r="F20" s="43">
        <f t="shared" si="2"/>
        <v>144.48999999999998</v>
      </c>
      <c r="G20" s="43">
        <f t="shared" si="2"/>
        <v>129.26</v>
      </c>
      <c r="H20" s="43">
        <f t="shared" si="2"/>
        <v>143</v>
      </c>
      <c r="I20" s="43">
        <f t="shared" si="2"/>
        <v>122.44</v>
      </c>
      <c r="J20" s="43">
        <f t="shared" si="2"/>
        <v>135.57</v>
      </c>
      <c r="K20" s="43">
        <f t="shared" si="2"/>
        <v>127.13</v>
      </c>
      <c r="L20" s="43">
        <f t="shared" si="2"/>
        <v>149.04999999999998</v>
      </c>
      <c r="M20" s="43">
        <f>SUM(M18:M19)</f>
        <v>132.49</v>
      </c>
      <c r="N20" s="43">
        <f>SUM(N18+N19)</f>
        <v>1636.37</v>
      </c>
    </row>
    <row r="21" spans="1:14" ht="15">
      <c r="A21" s="4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ht="15">
      <c r="B22" s="38">
        <v>36708</v>
      </c>
      <c r="C22" s="38">
        <v>36739</v>
      </c>
      <c r="D22" s="38">
        <v>36770</v>
      </c>
      <c r="E22" s="38">
        <v>36800</v>
      </c>
      <c r="F22" s="38">
        <v>36831</v>
      </c>
      <c r="G22" s="38">
        <v>36861</v>
      </c>
      <c r="H22" s="38">
        <v>36892</v>
      </c>
      <c r="I22" s="38">
        <v>36923</v>
      </c>
      <c r="J22" s="38">
        <v>36951</v>
      </c>
      <c r="K22" s="38">
        <v>36982</v>
      </c>
      <c r="L22" s="38">
        <v>37012</v>
      </c>
      <c r="M22" s="38">
        <v>37043</v>
      </c>
      <c r="N22" s="45" t="s">
        <v>115</v>
      </c>
    </row>
    <row r="23" spans="1:14" ht="15">
      <c r="A23" s="47" t="s">
        <v>74</v>
      </c>
      <c r="B23" s="44">
        <f>SUM(B7:B9)</f>
        <v>112.31</v>
      </c>
      <c r="C23" s="44">
        <f>SUM(C7:C9)</f>
        <v>153.53</v>
      </c>
      <c r="D23" s="44">
        <f>SUM(D7:D9)</f>
        <v>140.87</v>
      </c>
      <c r="E23" s="44">
        <f>SUM(E7:E9)</f>
        <v>146.23</v>
      </c>
      <c r="F23" s="44">
        <f>SUM(F20)</f>
        <v>144.48999999999998</v>
      </c>
      <c r="G23" s="44">
        <f>SUM(G20)</f>
        <v>129.26</v>
      </c>
      <c r="H23" s="44">
        <f aca="true" t="shared" si="3" ref="H23:M23">SUM(H20)</f>
        <v>143</v>
      </c>
      <c r="I23" s="44">
        <f t="shared" si="3"/>
        <v>122.44</v>
      </c>
      <c r="J23" s="44">
        <f t="shared" si="3"/>
        <v>135.57</v>
      </c>
      <c r="K23" s="44">
        <f t="shared" si="3"/>
        <v>127.13</v>
      </c>
      <c r="L23" s="44">
        <f t="shared" si="3"/>
        <v>149.04999999999998</v>
      </c>
      <c r="M23" s="44">
        <f t="shared" si="3"/>
        <v>132.49</v>
      </c>
      <c r="N23" s="43">
        <f>SUM(N7:N9)</f>
        <v>1636.37</v>
      </c>
    </row>
  </sheetData>
  <printOptions/>
  <pageMargins left="0.75" right="0.75" top="1" bottom="1" header="0.5" footer="0.5"/>
  <pageSetup fitToHeight="1" fitToWidth="1" horizontalDpi="600" verticalDpi="600" orientation="landscape" scale="7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"/>
  <sheetViews>
    <sheetView workbookViewId="0" topLeftCell="A1">
      <selection activeCell="J10" sqref="J10"/>
    </sheetView>
  </sheetViews>
  <sheetFormatPr defaultColWidth="11.421875" defaultRowHeight="12.75"/>
  <cols>
    <col min="1" max="1" width="20.8515625" style="0" bestFit="1" customWidth="1"/>
    <col min="2" max="16384" width="8.8515625" style="0" customWidth="1"/>
  </cols>
  <sheetData>
    <row r="3" spans="1:14" ht="15">
      <c r="A3" s="43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3"/>
    </row>
    <row r="4" spans="1:14" ht="15">
      <c r="A4" s="43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3"/>
    </row>
    <row r="5" spans="1:14" ht="15">
      <c r="A5" s="43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4" ht="15">
      <c r="A6" s="43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3"/>
    </row>
    <row r="7" spans="1:14" ht="15">
      <c r="A7" s="4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3"/>
    </row>
    <row r="8" spans="1:14" ht="15">
      <c r="A8" s="44"/>
      <c r="B8" s="38">
        <v>36708</v>
      </c>
      <c r="C8" s="38">
        <v>36739</v>
      </c>
      <c r="D8" s="38">
        <v>36770</v>
      </c>
      <c r="E8" s="38">
        <v>36800</v>
      </c>
      <c r="F8" s="38">
        <v>36831</v>
      </c>
      <c r="G8" s="38">
        <v>36861</v>
      </c>
      <c r="H8" s="38">
        <v>36892</v>
      </c>
      <c r="I8" s="38">
        <v>36923</v>
      </c>
      <c r="J8" s="38">
        <v>36951</v>
      </c>
      <c r="K8" s="38">
        <v>36982</v>
      </c>
      <c r="L8" s="38">
        <v>37012</v>
      </c>
      <c r="M8" s="38">
        <v>37043</v>
      </c>
      <c r="N8" s="45" t="s">
        <v>115</v>
      </c>
    </row>
    <row r="9" spans="1:14" ht="15">
      <c r="A9" s="43" t="s">
        <v>45</v>
      </c>
      <c r="B9" s="44">
        <f>126.88+46.73</f>
        <v>173.60999999999999</v>
      </c>
      <c r="C9" s="44">
        <f>170.45+2.28+1.63+40.01</f>
        <v>214.36999999999998</v>
      </c>
      <c r="D9" s="44">
        <f>139.28+1.03+48.9</f>
        <v>189.21</v>
      </c>
      <c r="E9" s="44">
        <f>150.19+1.32+64.35</f>
        <v>215.85999999999999</v>
      </c>
      <c r="F9" s="44">
        <f>160.4+49.65</f>
        <v>210.05</v>
      </c>
      <c r="G9" s="44">
        <f>136.03+56.01</f>
        <v>192.04</v>
      </c>
      <c r="H9" s="44">
        <f>137.03+37.2</f>
        <v>174.23000000000002</v>
      </c>
      <c r="I9" s="44">
        <f>112.87+49.07</f>
        <v>161.94</v>
      </c>
      <c r="J9" s="44">
        <f>135.92+5.56</f>
        <v>141.48</v>
      </c>
      <c r="K9" s="44">
        <f>128.65+2.37+0.52+51.91+7.18+0.95</f>
        <v>191.58</v>
      </c>
      <c r="L9" s="44">
        <f>0.45+146.58+83.24</f>
        <v>230.26999999999998</v>
      </c>
      <c r="M9" s="44">
        <f>130.93+32.6</f>
        <v>163.53</v>
      </c>
      <c r="N9" s="44">
        <f>SUM(B9:M9)</f>
        <v>2258.17</v>
      </c>
    </row>
    <row r="10" spans="1:14" ht="15">
      <c r="A10" s="43" t="s">
        <v>119</v>
      </c>
      <c r="B10" s="44">
        <f>47.54</f>
        <v>47.54</v>
      </c>
      <c r="C10" s="44">
        <f>55.05</f>
        <v>55.05</v>
      </c>
      <c r="D10" s="44">
        <v>42.42</v>
      </c>
      <c r="E10" s="44">
        <v>52.39</v>
      </c>
      <c r="F10" s="44">
        <v>41.74</v>
      </c>
      <c r="G10" s="44">
        <v>40.65</v>
      </c>
      <c r="H10" s="44">
        <v>48.9</v>
      </c>
      <c r="I10" s="44">
        <v>31.71</v>
      </c>
      <c r="J10" s="44">
        <v>54.61</v>
      </c>
      <c r="K10" s="44">
        <v>49.35</v>
      </c>
      <c r="L10" s="44">
        <v>47.87</v>
      </c>
      <c r="M10" s="44">
        <v>45.08</v>
      </c>
      <c r="N10" s="44">
        <f>SUM(B10:M10)</f>
        <v>557.31</v>
      </c>
    </row>
    <row r="11" spans="1:14" ht="15">
      <c r="A11" s="47" t="s">
        <v>74</v>
      </c>
      <c r="B11" s="43">
        <f aca="true" t="shared" si="0" ref="B11:N11">SUM(B9:B10)</f>
        <v>221.14999999999998</v>
      </c>
      <c r="C11" s="43">
        <f t="shared" si="0"/>
        <v>269.41999999999996</v>
      </c>
      <c r="D11" s="43">
        <f t="shared" si="0"/>
        <v>231.63</v>
      </c>
      <c r="E11" s="43">
        <f t="shared" si="0"/>
        <v>268.25</v>
      </c>
      <c r="F11" s="43">
        <f t="shared" si="0"/>
        <v>251.79000000000002</v>
      </c>
      <c r="G11" s="43">
        <f t="shared" si="0"/>
        <v>232.69</v>
      </c>
      <c r="H11" s="43">
        <f t="shared" si="0"/>
        <v>223.13000000000002</v>
      </c>
      <c r="I11" s="43">
        <f t="shared" si="0"/>
        <v>193.65</v>
      </c>
      <c r="J11" s="43">
        <f t="shared" si="0"/>
        <v>196.08999999999997</v>
      </c>
      <c r="K11" s="43">
        <f t="shared" si="0"/>
        <v>240.93</v>
      </c>
      <c r="L11" s="43">
        <f t="shared" si="0"/>
        <v>278.14</v>
      </c>
      <c r="M11" s="43">
        <f t="shared" si="0"/>
        <v>208.61</v>
      </c>
      <c r="N11" s="43">
        <f t="shared" si="0"/>
        <v>2815.48</v>
      </c>
    </row>
    <row r="12" spans="1:14" ht="15">
      <c r="A12" s="47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2:14" ht="15">
      <c r="B13" s="38">
        <v>36708</v>
      </c>
      <c r="C13" s="38">
        <v>36739</v>
      </c>
      <c r="D13" s="38">
        <v>36770</v>
      </c>
      <c r="E13" s="38">
        <v>36800</v>
      </c>
      <c r="F13" s="38">
        <v>36831</v>
      </c>
      <c r="G13" s="38">
        <v>36861</v>
      </c>
      <c r="H13" s="38">
        <v>36892</v>
      </c>
      <c r="I13" s="38">
        <v>36923</v>
      </c>
      <c r="J13" s="38">
        <v>36951</v>
      </c>
      <c r="K13" s="38">
        <v>36982</v>
      </c>
      <c r="L13" s="38">
        <v>37012</v>
      </c>
      <c r="M13" s="38">
        <v>37043</v>
      </c>
      <c r="N13" s="45" t="s">
        <v>115</v>
      </c>
    </row>
    <row r="14" spans="1:14" ht="15">
      <c r="A14" s="47" t="s">
        <v>74</v>
      </c>
      <c r="B14" s="44">
        <f>SUM(B11)</f>
        <v>221.14999999999998</v>
      </c>
      <c r="C14" s="44">
        <f aca="true" t="shared" si="1" ref="C14:N14">SUM(C11)</f>
        <v>269.41999999999996</v>
      </c>
      <c r="D14" s="44">
        <f t="shared" si="1"/>
        <v>231.63</v>
      </c>
      <c r="E14" s="44">
        <f t="shared" si="1"/>
        <v>268.25</v>
      </c>
      <c r="F14" s="44">
        <f t="shared" si="1"/>
        <v>251.79000000000002</v>
      </c>
      <c r="G14" s="44">
        <f t="shared" si="1"/>
        <v>232.69</v>
      </c>
      <c r="H14" s="44">
        <f t="shared" si="1"/>
        <v>223.13000000000002</v>
      </c>
      <c r="I14" s="44">
        <f t="shared" si="1"/>
        <v>193.65</v>
      </c>
      <c r="J14" s="44">
        <f t="shared" si="1"/>
        <v>196.08999999999997</v>
      </c>
      <c r="K14" s="44">
        <f t="shared" si="1"/>
        <v>240.93</v>
      </c>
      <c r="L14" s="44">
        <f t="shared" si="1"/>
        <v>278.14</v>
      </c>
      <c r="M14" s="44">
        <f t="shared" si="1"/>
        <v>208.61</v>
      </c>
      <c r="N14" s="44">
        <f t="shared" si="1"/>
        <v>2815.48</v>
      </c>
    </row>
    <row r="15" spans="1:14" ht="12">
      <c r="A15" s="15"/>
      <c r="N15" s="14"/>
    </row>
  </sheetData>
  <printOptions/>
  <pageMargins left="0.75" right="0.75" top="1" bottom="1" header="0.5" footer="0.5"/>
  <pageSetup fitToHeight="1" fitToWidth="1" horizontalDpi="600" verticalDpi="600" orientation="landscape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M18" sqref="M18:M19"/>
    </sheetView>
  </sheetViews>
  <sheetFormatPr defaultColWidth="11.421875" defaultRowHeight="12.75"/>
  <cols>
    <col min="1" max="1" width="22.140625" style="0" bestFit="1" customWidth="1"/>
    <col min="2" max="2" width="7.8515625" style="0" customWidth="1"/>
    <col min="3" max="3" width="9.00390625" style="0" customWidth="1"/>
    <col min="4" max="4" width="8.8515625" style="0" customWidth="1"/>
    <col min="5" max="5" width="8.28125" style="0" customWidth="1"/>
    <col min="6" max="6" width="9.00390625" style="0" customWidth="1"/>
    <col min="7" max="7" width="8.8515625" style="0" customWidth="1"/>
    <col min="8" max="8" width="8.421875" style="0" customWidth="1"/>
    <col min="9" max="9" width="8.7109375" style="0" customWidth="1"/>
    <col min="10" max="11" width="8.421875" style="0" customWidth="1"/>
    <col min="12" max="12" width="9.00390625" style="0" customWidth="1"/>
    <col min="13" max="13" width="8.7109375" style="0" customWidth="1"/>
    <col min="14" max="14" width="8.00390625" style="0" customWidth="1"/>
    <col min="15" max="16384" width="8.8515625" style="0" customWidth="1"/>
  </cols>
  <sheetData>
    <row r="1" ht="15">
      <c r="A1" s="43" t="s">
        <v>4</v>
      </c>
    </row>
    <row r="2" ht="15">
      <c r="A2" s="43" t="s">
        <v>5</v>
      </c>
    </row>
    <row r="3" ht="15">
      <c r="A3" s="43" t="s">
        <v>121</v>
      </c>
    </row>
    <row r="4" ht="15">
      <c r="A4" s="43" t="s">
        <v>16</v>
      </c>
    </row>
    <row r="6" spans="1:14" ht="15">
      <c r="A6" s="44"/>
      <c r="B6" s="38">
        <v>36708</v>
      </c>
      <c r="C6" s="38">
        <v>36739</v>
      </c>
      <c r="D6" s="38">
        <v>36770</v>
      </c>
      <c r="E6" s="38">
        <v>36800</v>
      </c>
      <c r="F6" s="38">
        <v>36831</v>
      </c>
      <c r="G6" s="38">
        <v>36861</v>
      </c>
      <c r="H6" s="38">
        <v>36892</v>
      </c>
      <c r="I6" s="38">
        <v>36923</v>
      </c>
      <c r="J6" s="38">
        <v>36951</v>
      </c>
      <c r="K6" s="38">
        <v>36982</v>
      </c>
      <c r="L6" s="38">
        <v>37012</v>
      </c>
      <c r="M6" s="38">
        <v>37043</v>
      </c>
      <c r="N6" s="45" t="s">
        <v>115</v>
      </c>
    </row>
    <row r="7" spans="1:14" ht="15">
      <c r="A7" s="43" t="s">
        <v>118</v>
      </c>
      <c r="B7" s="46">
        <v>18.45</v>
      </c>
      <c r="C7" s="46">
        <v>12.87</v>
      </c>
      <c r="D7" s="46">
        <v>6.09</v>
      </c>
      <c r="E7" s="46">
        <v>9.98</v>
      </c>
      <c r="F7" s="46">
        <v>7.48</v>
      </c>
      <c r="G7" s="46">
        <v>3.28</v>
      </c>
      <c r="H7" s="46">
        <v>3</v>
      </c>
      <c r="I7" s="46">
        <v>2.04</v>
      </c>
      <c r="J7" s="46">
        <v>1.18</v>
      </c>
      <c r="K7" s="46">
        <v>0.98</v>
      </c>
      <c r="L7" s="46">
        <v>3.66</v>
      </c>
      <c r="M7" s="46">
        <v>0</v>
      </c>
      <c r="N7" s="43">
        <f>SUM(B7:M7)</f>
        <v>69.01</v>
      </c>
    </row>
    <row r="8" spans="1:14" ht="15">
      <c r="A8" s="43" t="s">
        <v>119</v>
      </c>
      <c r="B8" s="44">
        <v>21.57</v>
      </c>
      <c r="C8" s="44">
        <v>8.72</v>
      </c>
      <c r="D8" s="44">
        <v>7.54</v>
      </c>
      <c r="E8" s="44">
        <v>16.53</v>
      </c>
      <c r="F8" s="44">
        <v>17.42</v>
      </c>
      <c r="G8" s="44">
        <v>25.23</v>
      </c>
      <c r="H8" s="44">
        <v>20.75</v>
      </c>
      <c r="I8" s="44">
        <v>20</v>
      </c>
      <c r="J8" s="44">
        <v>16.7</v>
      </c>
      <c r="K8" s="44">
        <v>19</v>
      </c>
      <c r="L8" s="44">
        <v>12.6</v>
      </c>
      <c r="M8" s="44">
        <v>5.16</v>
      </c>
      <c r="N8" s="43">
        <f>SUM(B8:M8)</f>
        <v>191.21999999999997</v>
      </c>
    </row>
    <row r="9" spans="1:14" ht="15">
      <c r="A9" s="43" t="s">
        <v>120</v>
      </c>
      <c r="B9" s="46">
        <v>0</v>
      </c>
      <c r="C9" s="46">
        <v>0</v>
      </c>
      <c r="D9" s="46">
        <v>10.7</v>
      </c>
      <c r="E9" s="46">
        <v>11.4</v>
      </c>
      <c r="F9" s="46">
        <v>23.5</v>
      </c>
      <c r="G9" s="46">
        <v>19.01</v>
      </c>
      <c r="H9" s="46">
        <v>37.5</v>
      </c>
      <c r="I9" s="46">
        <v>16.35</v>
      </c>
      <c r="J9" s="46">
        <v>16.74</v>
      </c>
      <c r="K9" s="46">
        <v>18.45</v>
      </c>
      <c r="L9" s="46">
        <v>12.57</v>
      </c>
      <c r="M9" s="46">
        <v>13.21</v>
      </c>
      <c r="N9" s="43">
        <f>SUM(B9:M9)</f>
        <v>179.43</v>
      </c>
    </row>
    <row r="10" spans="1:14" ht="15">
      <c r="A10" s="47" t="s">
        <v>74</v>
      </c>
      <c r="B10" s="44">
        <f>SUM(B7:B9)</f>
        <v>40.019999999999996</v>
      </c>
      <c r="C10" s="44">
        <f aca="true" t="shared" si="0" ref="C10:M10">SUM(C7:C9)</f>
        <v>21.59</v>
      </c>
      <c r="D10" s="44">
        <f t="shared" si="0"/>
        <v>24.33</v>
      </c>
      <c r="E10" s="44">
        <f t="shared" si="0"/>
        <v>37.910000000000004</v>
      </c>
      <c r="F10" s="44">
        <f t="shared" si="0"/>
        <v>48.400000000000006</v>
      </c>
      <c r="G10" s="44">
        <f t="shared" si="0"/>
        <v>47.52</v>
      </c>
      <c r="H10" s="44">
        <f t="shared" si="0"/>
        <v>61.25</v>
      </c>
      <c r="I10" s="44">
        <f t="shared" si="0"/>
        <v>38.39</v>
      </c>
      <c r="J10" s="44">
        <f t="shared" si="0"/>
        <v>34.62</v>
      </c>
      <c r="K10" s="44">
        <f t="shared" si="0"/>
        <v>38.43</v>
      </c>
      <c r="L10" s="44">
        <f t="shared" si="0"/>
        <v>28.83</v>
      </c>
      <c r="M10" s="44">
        <f t="shared" si="0"/>
        <v>18.37</v>
      </c>
      <c r="N10" s="43">
        <f>SUM(N7:N9)</f>
        <v>439.65999999999997</v>
      </c>
    </row>
    <row r="11" spans="1:14" ht="15">
      <c r="A11" s="47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3"/>
    </row>
    <row r="12" spans="1:14" ht="15">
      <c r="A12" s="43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1:14" ht="15">
      <c r="A13" s="43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3"/>
    </row>
    <row r="14" spans="1:14" ht="15">
      <c r="A14" s="43" t="s">
        <v>121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</row>
    <row r="15" spans="1:14" ht="15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</row>
    <row r="16" spans="1:14" ht="15">
      <c r="A16" s="4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</row>
    <row r="17" spans="1:14" ht="15">
      <c r="A17" s="44"/>
      <c r="B17" s="38">
        <v>36708</v>
      </c>
      <c r="C17" s="38">
        <v>36739</v>
      </c>
      <c r="D17" s="38">
        <v>36770</v>
      </c>
      <c r="E17" s="38">
        <v>36800</v>
      </c>
      <c r="F17" s="38">
        <v>36831</v>
      </c>
      <c r="G17" s="38">
        <v>36861</v>
      </c>
      <c r="H17" s="38">
        <v>36892</v>
      </c>
      <c r="I17" s="38">
        <v>36923</v>
      </c>
      <c r="J17" s="38">
        <v>36951</v>
      </c>
      <c r="K17" s="38">
        <v>36982</v>
      </c>
      <c r="L17" s="38">
        <v>37012</v>
      </c>
      <c r="M17" s="38">
        <v>37043</v>
      </c>
      <c r="N17" s="45" t="s">
        <v>115</v>
      </c>
    </row>
    <row r="18" spans="1:14" ht="15">
      <c r="A18" s="43" t="s">
        <v>45</v>
      </c>
      <c r="B18" s="44">
        <f>SUM(B7+B9)</f>
        <v>18.45</v>
      </c>
      <c r="C18" s="44">
        <f>SUM(C7+C9)</f>
        <v>12.87</v>
      </c>
      <c r="D18" s="44">
        <f>SUM(D7+D9)</f>
        <v>16.79</v>
      </c>
      <c r="E18" s="44">
        <f>SUM(E7+E9)</f>
        <v>21.380000000000003</v>
      </c>
      <c r="F18" s="44">
        <f>SUM(F7+F9)</f>
        <v>30.98</v>
      </c>
      <c r="G18" s="44">
        <f>3.28+19.01</f>
        <v>22.290000000000003</v>
      </c>
      <c r="H18" s="44">
        <f aca="true" t="shared" si="1" ref="H18:M18">SUM(H7+H9)</f>
        <v>40.5</v>
      </c>
      <c r="I18" s="44">
        <f t="shared" si="1"/>
        <v>18.39</v>
      </c>
      <c r="J18" s="44">
        <f t="shared" si="1"/>
        <v>17.919999999999998</v>
      </c>
      <c r="K18" s="44">
        <f t="shared" si="1"/>
        <v>19.43</v>
      </c>
      <c r="L18" s="44">
        <f t="shared" si="1"/>
        <v>16.23</v>
      </c>
      <c r="M18" s="44">
        <f t="shared" si="1"/>
        <v>13.21</v>
      </c>
      <c r="N18" s="44">
        <f>SUM(B18:M18)</f>
        <v>248.44000000000003</v>
      </c>
    </row>
    <row r="19" spans="1:14" ht="15">
      <c r="A19" s="43" t="s">
        <v>119</v>
      </c>
      <c r="B19" s="44">
        <f>SUM(B8)</f>
        <v>21.57</v>
      </c>
      <c r="C19" s="44">
        <f>SUM(C8)</f>
        <v>8.72</v>
      </c>
      <c r="D19" s="44">
        <f>SUM(D8)</f>
        <v>7.54</v>
      </c>
      <c r="E19" s="44">
        <f>SUM(E8)</f>
        <v>16.53</v>
      </c>
      <c r="F19" s="44">
        <f>SUM(F8)</f>
        <v>17.42</v>
      </c>
      <c r="G19" s="44">
        <v>25.23</v>
      </c>
      <c r="H19" s="44">
        <f aca="true" t="shared" si="2" ref="H19:M19">SUM(H8)</f>
        <v>20.75</v>
      </c>
      <c r="I19" s="44">
        <f t="shared" si="2"/>
        <v>20</v>
      </c>
      <c r="J19" s="44">
        <f t="shared" si="2"/>
        <v>16.7</v>
      </c>
      <c r="K19" s="44">
        <f t="shared" si="2"/>
        <v>19</v>
      </c>
      <c r="L19" s="44">
        <f t="shared" si="2"/>
        <v>12.6</v>
      </c>
      <c r="M19" s="44">
        <f t="shared" si="2"/>
        <v>5.16</v>
      </c>
      <c r="N19" s="44">
        <f>SUM(B19:M19)</f>
        <v>191.21999999999997</v>
      </c>
    </row>
    <row r="20" spans="1:14" ht="15">
      <c r="A20" s="47" t="s">
        <v>74</v>
      </c>
      <c r="B20" s="43">
        <f aca="true" t="shared" si="3" ref="B20:J20">SUM(B18:B19)</f>
        <v>40.019999999999996</v>
      </c>
      <c r="C20" s="43">
        <f t="shared" si="3"/>
        <v>21.59</v>
      </c>
      <c r="D20" s="43">
        <f t="shared" si="3"/>
        <v>24.33</v>
      </c>
      <c r="E20" s="43">
        <f t="shared" si="3"/>
        <v>37.910000000000004</v>
      </c>
      <c r="F20" s="43">
        <f>SUM(F18:F19)</f>
        <v>48.400000000000006</v>
      </c>
      <c r="G20" s="43">
        <f>SUM(G18:G19)</f>
        <v>47.52</v>
      </c>
      <c r="H20" s="43">
        <f t="shared" si="3"/>
        <v>61.25</v>
      </c>
      <c r="I20" s="43">
        <f t="shared" si="3"/>
        <v>38.39</v>
      </c>
      <c r="J20" s="43">
        <f t="shared" si="3"/>
        <v>34.62</v>
      </c>
      <c r="K20" s="43">
        <f>SUM(K18:K19)</f>
        <v>38.43</v>
      </c>
      <c r="L20" s="43">
        <f>SUM(L18:L19)</f>
        <v>28.83</v>
      </c>
      <c r="M20" s="43">
        <f>SUM(M18:M19)</f>
        <v>18.37</v>
      </c>
      <c r="N20" s="43">
        <f>SUM(N18:N19)</f>
        <v>439.65999999999997</v>
      </c>
    </row>
    <row r="21" spans="1:14" ht="15">
      <c r="A21" s="4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3"/>
    </row>
    <row r="22" spans="2:14" ht="15">
      <c r="B22" s="38">
        <v>36708</v>
      </c>
      <c r="C22" s="38">
        <v>36739</v>
      </c>
      <c r="D22" s="38">
        <v>36770</v>
      </c>
      <c r="E22" s="38">
        <v>36800</v>
      </c>
      <c r="F22" s="38">
        <v>36831</v>
      </c>
      <c r="G22" s="38">
        <v>36861</v>
      </c>
      <c r="H22" s="38">
        <v>36892</v>
      </c>
      <c r="I22" s="38">
        <v>36923</v>
      </c>
      <c r="J22" s="38">
        <v>36951</v>
      </c>
      <c r="K22" s="38">
        <v>36982</v>
      </c>
      <c r="L22" s="38">
        <v>37012</v>
      </c>
      <c r="M22" s="38">
        <v>37043</v>
      </c>
      <c r="N22" s="45" t="s">
        <v>115</v>
      </c>
    </row>
    <row r="23" spans="1:14" ht="15">
      <c r="A23" s="47" t="s">
        <v>74</v>
      </c>
      <c r="B23" s="44">
        <f>SUM(B7:B9)</f>
        <v>40.019999999999996</v>
      </c>
      <c r="C23" s="44">
        <f>SUM(C7:C9)</f>
        <v>21.59</v>
      </c>
      <c r="D23" s="44">
        <f>SUM(D7:D9)</f>
        <v>24.33</v>
      </c>
      <c r="E23" s="44">
        <f aca="true" t="shared" si="4" ref="E23:J23">SUM(E20)</f>
        <v>37.910000000000004</v>
      </c>
      <c r="F23" s="44">
        <f t="shared" si="4"/>
        <v>48.400000000000006</v>
      </c>
      <c r="G23" s="44">
        <f t="shared" si="4"/>
        <v>47.52</v>
      </c>
      <c r="H23" s="44">
        <f t="shared" si="4"/>
        <v>61.25</v>
      </c>
      <c r="I23" s="44">
        <f t="shared" si="4"/>
        <v>38.39</v>
      </c>
      <c r="J23" s="44">
        <f t="shared" si="4"/>
        <v>34.62</v>
      </c>
      <c r="K23" s="44">
        <f>SUM(K7:K9)</f>
        <v>38.43</v>
      </c>
      <c r="L23" s="44">
        <f>SUM(L7:L9)</f>
        <v>28.83</v>
      </c>
      <c r="M23" s="44">
        <f>SUM(M7:M9)</f>
        <v>18.37</v>
      </c>
      <c r="N23" s="43">
        <f>SUM(B23:M23)</f>
        <v>439.65999999999997</v>
      </c>
    </row>
    <row r="24" spans="1:14" ht="12">
      <c r="A24" s="15"/>
      <c r="N24" s="14"/>
    </row>
  </sheetData>
  <printOptions/>
  <pageMargins left="0.75" right="0.75" top="1" bottom="1" header="0.5" footer="0.5"/>
  <pageSetup fitToHeight="1" fitToWidth="1" horizontalDpi="600" verticalDpi="600" orientation="landscape" scale="76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James Wilson</cp:lastModifiedBy>
  <cp:lastPrinted>2002-02-12T19:22:12Z</cp:lastPrinted>
  <dcterms:created xsi:type="dcterms:W3CDTF">1998-08-31T14:03:03Z</dcterms:created>
  <cp:category/>
  <cp:version/>
  <cp:contentType/>
  <cp:contentStatus/>
</cp:coreProperties>
</file>